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5D\Mythic 22\Lot. MYT2604\"/>
    </mc:Choice>
  </mc:AlternateContent>
  <xr:revisionPtr revIDLastSave="0" documentId="8_{D7FB4715-B8DA-46B0-948A-6A87A00F37A7}"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<sst xmlns="http://schemas.openxmlformats.org/spreadsheetml/2006/main" count="1048" uniqueCount="265">
  <si>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</si>
  <si>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</si>
  <si>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</si>
  <si>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</si>
  <si>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</si>
  <si>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</si>
  <si>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</si>
  <si>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</si>
  <si>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</si>
  <si>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</si>
  <si>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</si>
  <si>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</si>
  <si>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</si>
  <si>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</si>
  <si>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</si>
  <si>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</si>
  <si>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</si>
  <si>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</si>
  <si>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</si>
  <si>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</si>
  <si>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</si>
  <si>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</si>
  <si>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</si>
  <si>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</si>
  <si>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</si>
  <si>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</si>
  <si>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</si>
  <si>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</si>
  <si>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</si>
  <si>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</si>
  <si>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</si>
  <si>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</si>
  <si>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</si>
  <si>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</si>
  <si>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</si>
  <si>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</si>
  <si>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</si>
  <si>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</si>
  <si>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</si>
  <si>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</si>
  <si>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</si>
  <si>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</si>
  <si>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</si>
  <si>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</si>
  <si>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</si>
  <si>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</si>
  <si>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</si>
  <si>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</si>
  <si>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</si>
  <si>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</si>
  <si>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</si>
  <si>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</si>
  <si>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</si>
  <si>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</si>
  <si>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</si>
  <si>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</si>
  <si>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</si>
  <si>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</si>
  <si>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</si>
  <si>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</si>
  <si>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</si>
  <si>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</si>
  <si>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</si>
  <si>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</si>
  <si>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</si>
  <si>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</si>
  <si>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</si>
  <si>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</si>
  <si>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</si>
  <si>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</si>
  <si>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</si>
  <si>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</si>
  <si>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</si>
  <si>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</si>
  <si>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</si>
  <si>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</si>
  <si>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</si>
  <si>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</si>
  <si>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</si>
  <si>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</si>
  <si>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</si>
  <si>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</si>
  <si>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</si>
  <si>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</si>
  <si>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</si>
  <si>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</si>
  <si>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</si>
  <si>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</si>
  <si>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</si>
  <si>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</si>
  <si>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</si>
  <si>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</si>
  <si>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</si>
  <si>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</si>
  <si>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</si>
  <si>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</si>
  <si>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</si>
  <si>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</si>
  <si>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</si>
  <si>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</si>
  <si>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</si>
  <si>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</si>
  <si>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</si>
  <si>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</si>
  <si>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</si>
  <si>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</si>
  <si>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</si>
  <si>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</si>
  <si>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</si>
  <si>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</si>
  <si>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</si>
  <si>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</si>
  <si>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</si>
  <si>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</si>
  <si>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</si>
  <si>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</si>
  <si>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</si>
  <si>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</si>
  <si>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</si>
  <si>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</si>
  <si>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</si>
  <si>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</si>
  <si>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</si>
  <si>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</si>
  <si>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</si>
  <si>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</si>
  <si>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</si>
  <si>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</si>
  <si>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</si>
  <si>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</si>
  <si>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</si>
  <si>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</si>
  <si>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</si>
  <si>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</si>
  <si>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</si>
  <si>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</si>
  <si>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</si>
  <si>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</si>
  <si>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</si>
  <si>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</si>
  <si>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</si>
  <si>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</si>
  <si>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</si>
  <si>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</si>
  <si>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</si>
  <si>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</si>
  <si>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</si>
  <si>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</si>
  <si>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</si>
  <si>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</si>
  <si>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</si>
  <si>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</si>
  <si>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</si>
  <si>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</si>
  <si>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</si>
  <si>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</si>
  <si>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</si>
  <si>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</si>
  <si>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</si>
  <si>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</si>
  <si>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</si>
  <si>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</si>
  <si>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</si>
  <si>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</si>
  <si>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</si>
  <si>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</si>
  <si>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</si>
  <si>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</si>
  <si>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</si>
  <si>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</si>
  <si>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</si>
  <si>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</si>
  <si>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</si>
  <si>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</si>
  <si>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</si>
  <si>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</si>
  <si>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</si>
  <si>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</si>
  <si>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</si>
  <si>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</si>
  <si>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</si>
  <si>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</si>
  <si>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</si>
  <si>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</si>
  <si>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</si>
  <si>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</si>
  <si>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</si>
  <si>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</si>
  <si>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</si>
  <si>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</si>
  <si>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</si>
  <si>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</si>
  <si>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</si>
  <si>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</si>
  <si>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</si>
  <si>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</si>
  <si>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</si>
  <si>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</si>
  <si>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</si>
  <si>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</si>
  <si>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</si>
  <si>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</si>
  <si>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</si>
  <si>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</si>
  <si>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</si>
  <si>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</si>
  <si>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</si>
  <si>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</si>
  <si>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</si>
  <si>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</si>
  <si>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</si>
  <si>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</si>
  <si>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</si>
  <si>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</si>
  <si>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</si>
  <si>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</si>
  <si>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</si>
  <si>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</si>
  <si>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</si>
  <si>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</si>
  <si>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</si>
  <si>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</si>
  <si>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</si>
  <si>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</si>
  <si>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</si>
  <si>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</si>
  <si>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</si>
  <si>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</si>
  <si>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</si>
  <si>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</si>
  <si>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</si>
  <si>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</si>
  <si>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</si>
  <si>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</si>
  <si>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</si>
  <si>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</si>
  <si>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</si>
  <si>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</si>
  <si>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</si>
  <si>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</si>
  <si>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</si>
  <si>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</si>
  <si>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</si>
  <si>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</si>
  <si>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</si>
  <si>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</si>
  <si>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</si>
  <si>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</si>
  <si>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</si>
  <si>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</si>
  <si>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</si>
  <si>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</si>
  <si>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</si>
  <si>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</si>
  <si>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</si>
  <si>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</si>
  <si>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</si>
  <si>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</si>
  <si>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</si>
  <si>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</si>
  <si>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</si>
  <si>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</si>
  <si>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Mythic 22</t>
  </si>
  <si>
    <t>Myt-5D</t>
  </si>
  <si>
    <t>MYT2604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</si>
</sst>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2" fontId="16" fillId="0" borderId="25" xfId="0" applyNumberFormat="1" applyFont="1" applyBorder="1" applyAlignment="1">
      <alignment horizontal="righ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5" sqref="AL14: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26</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82"/>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83"/>
      <c r="AV2" s="15"/>
      <c r="AW2" s="15"/>
      <c r="AX2" s="15"/>
      <c r="AY2" s="15"/>
      <c r="AZ2" s="15"/>
      <c r="BA2" s="15"/>
    </row>
    <row r="3" spans="1:56" ht="30.75" customHeight="1" x14ac:dyDescent="0.2">
      <c r="A3" s="166" t="s">
        <v>25</v>
      </c>
      <c r="B3" s="167"/>
      <c r="C3" s="168" t="s">
        <v>263</v>
      </c>
      <c r="D3" s="168"/>
      <c r="E3" s="168"/>
      <c r="F3" s="168"/>
      <c r="G3" s="168"/>
      <c r="H3" s="168"/>
      <c r="I3" s="168"/>
      <c r="J3" s="168"/>
      <c r="K3" s="168"/>
      <c r="L3" s="168"/>
      <c r="M3" s="168"/>
      <c r="N3" s="168"/>
      <c r="O3" s="168"/>
      <c r="P3" s="168"/>
      <c r="Q3" s="168"/>
      <c r="R3" s="122"/>
      <c r="S3" s="122" t="s">
        <v>27</v>
      </c>
      <c r="T3" s="168" t="s">
        <v>264</v>
      </c>
      <c r="U3" s="168"/>
      <c r="V3" s="168"/>
      <c r="W3" s="168"/>
      <c r="X3" s="168"/>
      <c r="Y3" s="168"/>
      <c r="Z3" s="168"/>
      <c r="AA3" s="168"/>
      <c r="AB3" s="168"/>
      <c r="AC3" s="168"/>
      <c r="AD3" s="168"/>
      <c r="AE3" s="168"/>
      <c r="AF3" s="167" t="s">
        <v>29</v>
      </c>
      <c r="AG3" s="167"/>
      <c r="AH3" s="167"/>
      <c r="AI3" s="167"/>
      <c r="AJ3" s="167"/>
      <c r="AK3" s="184">
        <v>46178</v>
      </c>
      <c r="AL3" s="184"/>
      <c r="AM3" s="184"/>
      <c r="AN3" s="184"/>
      <c r="AO3" s="184"/>
      <c r="AP3" s="184"/>
      <c r="AQ3" s="184"/>
      <c r="AR3" s="184"/>
      <c r="AS3" s="184"/>
      <c r="AT3" s="184"/>
      <c r="AU3" s="185"/>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33</v>
      </c>
      <c r="W4" s="160"/>
      <c r="X4" s="160"/>
      <c r="Y4" s="160"/>
      <c r="Z4" s="160"/>
      <c r="AA4" s="160"/>
      <c r="AB4" s="160"/>
      <c r="AC4" s="160"/>
      <c r="AD4" s="160"/>
      <c r="AE4" s="160"/>
      <c r="AF4" s="160"/>
      <c r="AG4" s="160"/>
      <c r="AH4" s="160"/>
      <c r="AI4" s="160"/>
      <c r="AJ4" s="160"/>
      <c r="AK4" s="160"/>
      <c r="AM4" s="172" t="str">
        <f>IF($V$4="","Nach jedem Gebrauch eine neue Vorlage öffnen -&gt; Speichern unter","")</f>
        <v/>
      </c>
      <c r="AN4" s="172"/>
      <c r="AO4" s="172"/>
      <c r="AP4" s="172"/>
      <c r="AQ4" s="172"/>
      <c r="AR4" s="172"/>
      <c r="AS4" s="172"/>
      <c r="AT4" s="172"/>
      <c r="AU4" s="172"/>
      <c r="AV4" s="172"/>
      <c r="AW4" s="172"/>
      <c r="AX4" s="172"/>
      <c r="AY4" s="172"/>
      <c r="AZ4" s="172"/>
      <c r="BA4" s="172"/>
      <c r="BB4" s="172"/>
      <c r="BC4" s="172"/>
    </row>
    <row r="5" spans="1:56" ht="12.75" customHeight="1" x14ac:dyDescent="0.2">
      <c r="A5" s="151" t="s">
        <v>146</v>
      </c>
      <c r="B5" s="152"/>
      <c r="C5" s="18"/>
      <c r="D5" s="128" t="s">
        <v>0</v>
      </c>
      <c r="E5" s="129"/>
      <c r="F5" s="129"/>
      <c r="G5" s="129"/>
      <c r="H5" s="129"/>
      <c r="I5" s="129"/>
      <c r="J5" s="129"/>
      <c r="K5" s="129"/>
      <c r="L5" s="129"/>
      <c r="M5" s="130"/>
      <c r="N5" s="155">
        <f>IFERROR(VLOOKUP(A5,'Qualabtoleranzen&amp;Einheiten'!$B$6:$E$200,2,FALSE),"")</f>
        <v>0.25</v>
      </c>
      <c r="O5" s="155"/>
      <c r="P5" s="155"/>
      <c r="Q5" s="156"/>
      <c r="R5" s="19"/>
      <c r="S5" s="151" t="s">
        <v>104</v>
      </c>
      <c r="T5" s="152"/>
      <c r="U5" s="18"/>
      <c r="V5" s="128" t="s">
        <v>0</v>
      </c>
      <c r="W5" s="129"/>
      <c r="X5" s="129"/>
      <c r="Y5" s="129"/>
      <c r="Z5" s="129"/>
      <c r="AA5" s="129"/>
      <c r="AB5" s="129"/>
      <c r="AC5" s="129"/>
      <c r="AD5" s="129"/>
      <c r="AE5" s="130"/>
      <c r="AF5" s="155">
        <f>IFERROR(VLOOKUP(S5,'Qualabtoleranzen&amp;Einheiten'!$B$6:$E$200,2,FALSE),"")</f>
        <v>0.25</v>
      </c>
      <c r="AG5" s="155"/>
      <c r="AH5" s="155"/>
      <c r="AI5" s="156"/>
      <c r="AJ5" s="40"/>
      <c r="AK5" s="151" t="s">
        <v>119</v>
      </c>
      <c r="AL5" s="152"/>
      <c r="AM5" s="18"/>
      <c r="AN5" s="128" t="s">
        <v>0</v>
      </c>
      <c r="AO5" s="129"/>
      <c r="AP5" s="129"/>
      <c r="AQ5" s="129"/>
      <c r="AR5" s="129"/>
      <c r="AS5" s="129"/>
      <c r="AT5" s="129"/>
      <c r="AU5" s="129"/>
      <c r="AV5" s="129"/>
      <c r="AW5" s="130"/>
      <c r="AX5" s="155">
        <f>IFERROR(VLOOKUP(AK5,'Qualabtoleranzen&amp;Einheiten'!$B$6:$E$200,2,FALSE),"")</f>
        <v>0.09</v>
      </c>
      <c r="AY5" s="155"/>
      <c r="AZ5" s="155"/>
      <c r="BA5" s="156"/>
    </row>
    <row r="6" spans="1:56" ht="12.75" customHeight="1" x14ac:dyDescent="0.2">
      <c r="A6" s="153"/>
      <c r="B6" s="154"/>
      <c r="C6" s="18"/>
      <c r="D6" s="128" t="s">
        <v>8</v>
      </c>
      <c r="E6" s="129"/>
      <c r="F6" s="129"/>
      <c r="G6" s="129"/>
      <c r="H6" s="129"/>
      <c r="I6" s="129"/>
      <c r="J6" s="129"/>
      <c r="K6" s="129"/>
      <c r="L6" s="129"/>
      <c r="M6" s="130"/>
      <c r="N6" s="155">
        <v>0.16</v>
      </c>
      <c r="O6" s="155"/>
      <c r="P6" s="155"/>
      <c r="Q6" s="156"/>
      <c r="R6" s="19"/>
      <c r="S6" s="153"/>
      <c r="T6" s="154"/>
      <c r="U6" s="18"/>
      <c r="V6" s="128" t="s">
        <v>8</v>
      </c>
      <c r="W6" s="129"/>
      <c r="X6" s="129"/>
      <c r="Y6" s="129"/>
      <c r="Z6" s="129"/>
      <c r="AA6" s="129"/>
      <c r="AB6" s="129"/>
      <c r="AC6" s="129"/>
      <c r="AD6" s="129"/>
      <c r="AE6" s="130"/>
      <c r="AF6" s="155">
        <v>4.7E-2</v>
      </c>
      <c r="AG6" s="155"/>
      <c r="AH6" s="155"/>
      <c r="AI6" s="156"/>
      <c r="AJ6" s="40"/>
      <c r="AK6" s="153"/>
      <c r="AL6" s="154"/>
      <c r="AM6" s="18"/>
      <c r="AN6" s="128" t="s">
        <v>8</v>
      </c>
      <c r="AO6" s="129"/>
      <c r="AP6" s="129"/>
      <c r="AQ6" s="129"/>
      <c r="AR6" s="129"/>
      <c r="AS6" s="129"/>
      <c r="AT6" s="129"/>
      <c r="AU6" s="129"/>
      <c r="AV6" s="129"/>
      <c r="AW6" s="130"/>
      <c r="AX6" s="155">
        <v>5.2999999999999999E-2</v>
      </c>
      <c r="AY6" s="155"/>
      <c r="AZ6" s="155"/>
      <c r="BA6" s="156"/>
    </row>
    <row r="7" spans="1:56" ht="12.75" customHeight="1" x14ac:dyDescent="0.2">
      <c r="A7" s="142"/>
      <c r="B7" s="143"/>
      <c r="C7" s="18"/>
      <c r="D7" s="131" t="str">
        <f>IF(AND($V$4="Eine Vorlage zur Zielwertermittlung",NOT(L7="----------")),"neuer Zielwert",IF(NOT($V$4="Eine Vorlage zur Zielwertermittlung"),"Zielwert",""))</f>
        <v>Zielwert</v>
      </c>
      <c r="E7" s="132"/>
      <c r="F7" s="132"/>
      <c r="G7" s="132"/>
      <c r="H7" s="132"/>
      <c r="I7" s="132"/>
      <c r="J7" s="132"/>
      <c r="K7" s="133"/>
      <c r="L7" s="150">
        <v>7.7</v>
      </c>
      <c r="M7" s="150"/>
      <c r="N7" s="150"/>
      <c r="O7" s="147" t="str">
        <f>IFERROR(VLOOKUP(A5,'Qualabtoleranzen&amp;Einheiten'!$B$6:$E$200,4,FALSE),"Einheit")</f>
        <v>x103/µL</v>
      </c>
      <c r="P7" s="148"/>
      <c r="Q7" s="149"/>
      <c r="R7" s="19"/>
      <c r="S7" s="142"/>
      <c r="T7" s="143"/>
      <c r="U7" s="18"/>
      <c r="V7" s="131" t="str">
        <f>IF(AND($V$4="Eine Vorlage zur Zielwertermittlung",NOT(AD7="----------")),"neuer Zielwert",IF(NOT($V$4="Eine Vorlage zur Zielwertermittlung"),"Zielwert",""))</f>
        <v>Zielwert</v>
      </c>
      <c r="W7" s="132"/>
      <c r="X7" s="132"/>
      <c r="Y7" s="132"/>
      <c r="Z7" s="132"/>
      <c r="AA7" s="132"/>
      <c r="AB7" s="132"/>
      <c r="AC7" s="133"/>
      <c r="AD7" s="169">
        <v>4.2</v>
      </c>
      <c r="AE7" s="169"/>
      <c r="AF7" s="169"/>
      <c r="AG7" s="147" t="str">
        <f>IFERROR(VLOOKUP(S5,'Qualabtoleranzen&amp;Einheiten'!$B$6:$E$200,4,FALSE),"Einheit")</f>
        <v>x106/µl</v>
      </c>
      <c r="AH7" s="148"/>
      <c r="AI7" s="149"/>
      <c r="AJ7" s="40"/>
      <c r="AK7" s="142"/>
      <c r="AL7" s="143"/>
      <c r="AM7" s="18"/>
      <c r="AN7" s="131" t="str">
        <f>IF(AND($V$4="Eine Vorlage zur Zielwertermittlung",NOT(AV7="----------")),"neuer Zielwert",IF(NOT($V$4="Eine Vorlage zur Zielwertermittlung"),"Zielwert",""))</f>
        <v>Zielwert</v>
      </c>
      <c r="AO7" s="132"/>
      <c r="AP7" s="132"/>
      <c r="AQ7" s="132"/>
      <c r="AR7" s="132"/>
      <c r="AS7" s="132"/>
      <c r="AT7" s="132"/>
      <c r="AU7" s="133"/>
      <c r="AV7" s="150">
        <v>13.4</v>
      </c>
      <c r="AW7" s="150"/>
      <c r="AX7" s="150"/>
      <c r="AY7" s="147" t="str">
        <f>IFERROR(VLOOKUP(AK5,'Qualabtoleranzen&amp;Einheiten'!$B$6:$E$200,4,FALSE),"Einheit")</f>
        <v>g/dl</v>
      </c>
      <c r="AZ7" s="148"/>
      <c r="BA7" s="149"/>
    </row>
    <row r="8" spans="1:56" ht="12.75" customHeight="1" x14ac:dyDescent="0.2">
      <c r="A8" s="144"/>
      <c r="B8" s="145"/>
      <c r="C8" s="18"/>
      <c r="D8" s="170" t="str">
        <f>IF(L8="","","Standardabweichung")</f>
        <v>Standardabweichung</v>
      </c>
      <c r="E8" s="170"/>
      <c r="F8" s="170"/>
      <c r="G8" s="170"/>
      <c r="H8" s="170"/>
      <c r="I8" s="170"/>
      <c r="J8" s="170"/>
      <c r="K8" s="170"/>
      <c r="L8" s="17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0.4</v>
      </c>
      <c r="M8" s="171"/>
      <c r="N8" s="171"/>
      <c r="O8" s="134" t="str">
        <f>IF(L8="","",O7)</f>
        <v>x103/µL</v>
      </c>
      <c r="P8" s="134"/>
      <c r="Q8" s="134"/>
      <c r="R8" s="19"/>
      <c r="S8" s="144"/>
      <c r="T8" s="145"/>
      <c r="U8" s="18"/>
      <c r="V8" s="170" t="str">
        <f>IF(AD8="","","Standardabweichung")</f>
        <v>Standardabweichung</v>
      </c>
      <c r="W8" s="170"/>
      <c r="X8" s="170"/>
      <c r="Y8" s="170"/>
      <c r="Z8" s="170"/>
      <c r="AA8" s="170"/>
      <c r="AB8" s="170"/>
      <c r="AC8" s="170"/>
      <c r="AD8" s="171">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7.0000000000000007E-2</v>
      </c>
      <c r="AE8" s="171"/>
      <c r="AF8" s="171"/>
      <c r="AG8" s="134" t="str">
        <f>IF(AD8="","",AG7)</f>
        <v>x106/µl</v>
      </c>
      <c r="AH8" s="134"/>
      <c r="AI8" s="134"/>
      <c r="AJ8" s="40"/>
      <c r="AK8" s="144"/>
      <c r="AL8" s="145"/>
      <c r="AM8" s="18"/>
      <c r="AN8" s="170" t="str">
        <f>IF(AV8="","","Standardabweichung")</f>
        <v>Standardabweichung</v>
      </c>
      <c r="AO8" s="170"/>
      <c r="AP8" s="170"/>
      <c r="AQ8" s="170"/>
      <c r="AR8" s="170"/>
      <c r="AS8" s="170"/>
      <c r="AT8" s="170"/>
      <c r="AU8" s="170"/>
      <c r="AV8" s="171">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1"/>
      <c r="AX8" s="171"/>
      <c r="AY8" s="134" t="str">
        <f>IF(AV8="","",AY7)</f>
        <v>g/dl</v>
      </c>
      <c r="AZ8" s="134"/>
      <c r="BA8" s="134"/>
    </row>
    <row r="9" spans="1:56" ht="13.5" x14ac:dyDescent="0.25">
      <c r="A9" s="60" t="str">
        <f>IF($V$4="Eine Vorlage zur Zielwertüberwachung","Verwendeter ZW =","")</f>
        <v/>
      </c>
      <c r="B9" s="173" t="s">
        <v>35</v>
      </c>
      <c r="C9" s="173"/>
      <c r="D9" s="174" t="str">
        <f>IF(AND($V$4="Eine Vorlage zur Zielwertüberwachung",NOT(O9="")),"errechneter Mittelwert:","")</f>
        <v/>
      </c>
      <c r="E9" s="174"/>
      <c r="F9" s="174"/>
      <c r="G9" s="174"/>
      <c r="H9" s="174"/>
      <c r="I9" s="174"/>
      <c r="J9" s="174"/>
      <c r="K9" s="174"/>
      <c r="L9" s="174"/>
      <c r="M9" s="174"/>
      <c r="N9" s="174"/>
      <c r="O9" s="175" t="str" cm="1">
        <f t="array" ref="O9">IF(OR(AND(B13:B37=""),NOT($V$4="Eine Vorlage zur Zielwertüberwachung")),"",ROUND(AVERAGE(B13:B37),IF(B12="0 Komastellen",0,IF(B12="1 Komastelle",1,IF(B12="2 Komastellen",2,IF(B12="3 Komastellen",3,1))))))</f>
        <v/>
      </c>
      <c r="P9" s="175"/>
      <c r="Q9" s="175"/>
      <c r="R9" s="20"/>
      <c r="S9" s="60" t="str">
        <f>IF($V$4="Eine Vorlage zur Zielwertüberwachung","Verwendeter ZW =","")</f>
        <v/>
      </c>
      <c r="T9" s="173" t="s">
        <v>35</v>
      </c>
      <c r="U9" s="173"/>
      <c r="V9" s="174" t="str">
        <f>IF(AND($V$4="Eine Vorlage zur Zielwertüberwachung",NOT(AG9="")),"errechneter Mittelwert:","")</f>
        <v/>
      </c>
      <c r="W9" s="174"/>
      <c r="X9" s="174"/>
      <c r="Y9" s="174"/>
      <c r="Z9" s="174"/>
      <c r="AA9" s="174"/>
      <c r="AB9" s="174"/>
      <c r="AC9" s="174"/>
      <c r="AD9" s="174"/>
      <c r="AE9" s="174"/>
      <c r="AF9" s="174"/>
      <c r="AG9" s="175" t="str" cm="1">
        <f t="array" ref="AG9">IF(OR(AND(T13:T37=""),NOT($V$4="Eine Vorlage zur Zielwertüberwachung")),"",ROUND(AVERAGE(T13:T37),IF(T12="0 Komastellen",0,IF(T12="1 Komastelle",1,IF(T12="2 Komastellen",2,IF(T12="3 Komastellen",3,1))))))</f>
        <v/>
      </c>
      <c r="AH9" s="175"/>
      <c r="AI9" s="175"/>
      <c r="AK9" s="60" t="str">
        <f>IF($V$4="Eine Vorlage zur Zielwertüberwachung","Verwendeter ZW =","")</f>
        <v/>
      </c>
      <c r="AL9" s="173" t="s">
        <v>35</v>
      </c>
      <c r="AM9" s="173"/>
      <c r="AN9" s="174" t="str">
        <f>IF(AND($V$4="Eine Vorlage zur Zielwertüberwachung",NOT(AY9="")),"errechneter Mittelwert:","")</f>
        <v/>
      </c>
      <c r="AO9" s="174"/>
      <c r="AP9" s="174"/>
      <c r="AQ9" s="174"/>
      <c r="AR9" s="174"/>
      <c r="AS9" s="174"/>
      <c r="AT9" s="174"/>
      <c r="AU9" s="174"/>
      <c r="AV9" s="174"/>
      <c r="AW9" s="174"/>
      <c r="AX9" s="174"/>
      <c r="AY9" s="175" t="str" cm="1">
        <f t="array" ref="AY9">IF(OR(AND(AL13:AL37=""),NOT($V$4="Eine Vorlage zur Zielwertüberwachung")),"",ROUND(AVERAGE(AL13:AL37),IF(AL12="0 Komastellen",0,IF(AL12="1 Komastelle",1,IF(AL12="2 Komastellen",2,IF(AL12="3 Komastellen",3,1))))))</f>
        <v/>
      </c>
      <c r="AZ9" s="175"/>
      <c r="BA9" s="175"/>
    </row>
    <row r="10" spans="1:56" s="22" customFormat="1" x14ac:dyDescent="0.2">
      <c r="A10" s="48" t="s">
        <v>1</v>
      </c>
      <c r="B10" s="42" t="str">
        <f>O7</f>
        <v>x103/µL</v>
      </c>
      <c r="C10" s="43"/>
      <c r="D10" s="140" t="s">
        <v>2</v>
      </c>
      <c r="E10" s="141"/>
      <c r="F10" s="140" t="s">
        <v>3</v>
      </c>
      <c r="G10" s="141"/>
      <c r="H10" s="140" t="s">
        <v>4</v>
      </c>
      <c r="I10" s="141"/>
      <c r="J10" s="139" t="str">
        <f>IF(AND($V$4="Eine Vorlage zur Zielwertüberwachung",B9="errechneter Mw"),"Mw","Zw")</f>
        <v>Zw</v>
      </c>
      <c r="K10" s="141"/>
      <c r="L10" s="139" t="s">
        <v>5</v>
      </c>
      <c r="M10" s="135"/>
      <c r="N10" s="140" t="s">
        <v>6</v>
      </c>
      <c r="O10" s="135"/>
      <c r="P10" s="134" t="s">
        <v>7</v>
      </c>
      <c r="Q10" s="135"/>
      <c r="R10" s="21"/>
      <c r="S10" s="48" t="s">
        <v>1</v>
      </c>
      <c r="T10" s="42" t="str">
        <f>AG7</f>
        <v>x106/µl</v>
      </c>
      <c r="U10" s="43"/>
      <c r="V10" s="140" t="s">
        <v>2</v>
      </c>
      <c r="W10" s="141"/>
      <c r="X10" s="140" t="s">
        <v>3</v>
      </c>
      <c r="Y10" s="141"/>
      <c r="Z10" s="140" t="s">
        <v>4</v>
      </c>
      <c r="AA10" s="141"/>
      <c r="AB10" s="139" t="str">
        <f>IF(AND($V$4="Eine Vorlage zur Zielwertüberwachung",T9="errechneter Mw"),"Mw","Zw")</f>
        <v>Zw</v>
      </c>
      <c r="AC10" s="141"/>
      <c r="AD10" s="139" t="s">
        <v>5</v>
      </c>
      <c r="AE10" s="135"/>
      <c r="AF10" s="140" t="s">
        <v>6</v>
      </c>
      <c r="AG10" s="135"/>
      <c r="AH10" s="134" t="s">
        <v>7</v>
      </c>
      <c r="AI10" s="135"/>
      <c r="AJ10" s="40"/>
      <c r="AK10" s="48" t="s">
        <v>1</v>
      </c>
      <c r="AL10" s="42" t="str">
        <f>AY7</f>
        <v>g/dl</v>
      </c>
      <c r="AM10" s="43"/>
      <c r="AN10" s="140" t="s">
        <v>2</v>
      </c>
      <c r="AO10" s="141"/>
      <c r="AP10" s="140" t="s">
        <v>3</v>
      </c>
      <c r="AQ10" s="141"/>
      <c r="AR10" s="140" t="s">
        <v>4</v>
      </c>
      <c r="AS10" s="141"/>
      <c r="AT10" s="139" t="str">
        <f>IF(AND($V$4="Eine Vorlage zur Zielwertüberwachung",AL9="errechneter Mw"),"Mw","Zw")</f>
        <v>Zw</v>
      </c>
      <c r="AU10" s="141"/>
      <c r="AV10" s="139" t="s">
        <v>5</v>
      </c>
      <c r="AW10" s="135"/>
      <c r="AX10" s="140" t="s">
        <v>6</v>
      </c>
      <c r="AY10" s="135"/>
      <c r="AZ10" s="134" t="s">
        <v>7</v>
      </c>
      <c r="BA10" s="135"/>
      <c r="BC10" s="176" t="s">
        <v>261</v>
      </c>
      <c r="BD10" s="177"/>
    </row>
    <row r="11" spans="1:56" s="22" customFormat="1" x14ac:dyDescent="0.2">
      <c r="A11" s="44" t="s">
        <v>10</v>
      </c>
      <c r="B11" s="47" t="s">
        <v>28</v>
      </c>
      <c r="C11" s="43"/>
      <c r="D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6.5</v>
      </c>
      <c r="E11" s="137"/>
      <c r="F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6.8999999999999995</v>
      </c>
      <c r="G11" s="137"/>
      <c r="H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I11" s="137"/>
      <c r="J11" s="13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37"/>
      <c r="L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v>
      </c>
      <c r="M11" s="137"/>
      <c r="N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O11" s="137"/>
      <c r="P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v>
      </c>
      <c r="Q11" s="137"/>
      <c r="R11" s="41"/>
      <c r="S11" s="44" t="s">
        <v>10</v>
      </c>
      <c r="T11" s="47" t="s">
        <v>28</v>
      </c>
      <c r="U11" s="43"/>
      <c r="V11" s="15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4.01</v>
      </c>
      <c r="W11" s="158"/>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4.0699999999999994</v>
      </c>
      <c r="Y11" s="158"/>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4.1399999999999997</v>
      </c>
      <c r="AA11" s="158"/>
      <c r="AB11" s="15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4.2</v>
      </c>
      <c r="AC11" s="158"/>
      <c r="AD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4.26</v>
      </c>
      <c r="AE11" s="158"/>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4.33</v>
      </c>
      <c r="AG11" s="158"/>
      <c r="AH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4.3899999999999997</v>
      </c>
      <c r="AI11" s="158"/>
      <c r="AJ11" s="40"/>
      <c r="AK11" s="44" t="s">
        <v>10</v>
      </c>
      <c r="AL11" s="47" t="s">
        <v>28</v>
      </c>
      <c r="AM11" s="43"/>
      <c r="AN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v>
      </c>
      <c r="AO11" s="126"/>
      <c r="AP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v>
      </c>
      <c r="AQ11" s="137"/>
      <c r="AR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S11" s="137"/>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13.4</v>
      </c>
      <c r="AU11" s="126"/>
      <c r="AV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W11" s="137"/>
      <c r="AX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Y11" s="137"/>
      <c r="AZ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14.1</v>
      </c>
      <c r="BA11" s="126"/>
      <c r="BC11" s="178"/>
      <c r="BD11" s="179"/>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80"/>
      <c r="BD13" s="181"/>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80"/>
      <c r="BD14" s="181"/>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80"/>
      <c r="BD15" s="181"/>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80"/>
      <c r="BD16" s="181"/>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80"/>
      <c r="BD17" s="181"/>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80"/>
      <c r="BD18" s="181"/>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80"/>
      <c r="BD19" s="181"/>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80"/>
      <c r="BD20" s="181"/>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80"/>
      <c r="BD21" s="181"/>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80"/>
      <c r="BD22" s="181"/>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80"/>
      <c r="BD23" s="181"/>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80"/>
      <c r="BD24" s="181"/>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80"/>
      <c r="BD25" s="181"/>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80"/>
      <c r="BD26" s="181"/>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80"/>
      <c r="BD27" s="181"/>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80"/>
      <c r="BD28" s="181"/>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80"/>
      <c r="BD29" s="181"/>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80"/>
      <c r="BD30" s="181"/>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80"/>
      <c r="BD31" s="181"/>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80"/>
      <c r="BD32" s="181"/>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80"/>
      <c r="BD33" s="181"/>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80"/>
      <c r="BD34" s="181"/>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80"/>
      <c r="BD35" s="181"/>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80"/>
      <c r="BD36" s="181"/>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80"/>
      <c r="BD37" s="181"/>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1" t="s">
        <v>116</v>
      </c>
      <c r="B41" s="152"/>
      <c r="C41" s="18"/>
      <c r="D41" s="128" t="s">
        <v>0</v>
      </c>
      <c r="E41" s="129"/>
      <c r="F41" s="129"/>
      <c r="G41" s="129"/>
      <c r="H41" s="129"/>
      <c r="I41" s="129"/>
      <c r="J41" s="129"/>
      <c r="K41" s="129"/>
      <c r="L41" s="129"/>
      <c r="M41" s="130"/>
      <c r="N41" s="155">
        <f>IFERROR(VLOOKUP(A41,'Qualabtoleranzen&amp;Einheiten'!$B$6:$E$200,2,FALSE),"")</f>
        <v>0.09</v>
      </c>
      <c r="O41" s="155"/>
      <c r="P41" s="155"/>
      <c r="Q41" s="156"/>
      <c r="R41" s="19"/>
      <c r="S41" s="151" t="s">
        <v>180</v>
      </c>
      <c r="T41" s="152"/>
      <c r="U41" s="18"/>
      <c r="V41" s="128" t="s">
        <v>0</v>
      </c>
      <c r="W41" s="129"/>
      <c r="X41" s="129"/>
      <c r="Y41" s="129"/>
      <c r="Z41" s="129"/>
      <c r="AA41" s="129"/>
      <c r="AB41" s="129"/>
      <c r="AC41" s="129"/>
      <c r="AD41" s="129"/>
      <c r="AE41" s="130"/>
      <c r="AF41" s="155">
        <f>IFERROR(VLOOKUP(S41,'Qualabtoleranzen&amp;Einheiten'!$B$6:$E$200,2,FALSE),"")</f>
        <v>0.25</v>
      </c>
      <c r="AG41" s="155"/>
      <c r="AH41" s="155"/>
      <c r="AI41" s="156"/>
      <c r="AJ41" s="19"/>
      <c r="AK41" s="151" t="s">
        <v>9</v>
      </c>
      <c r="AL41" s="152"/>
      <c r="AM41" s="18"/>
      <c r="AN41" s="128" t="s">
        <v>0</v>
      </c>
      <c r="AO41" s="129"/>
      <c r="AP41" s="129"/>
      <c r="AQ41" s="129"/>
      <c r="AR41" s="129"/>
      <c r="AS41" s="129"/>
      <c r="AT41" s="129"/>
      <c r="AU41" s="129"/>
      <c r="AV41" s="129"/>
      <c r="AW41" s="130"/>
      <c r="AX41" s="155" t="str">
        <f>IFERROR(VLOOKUP(AK41,'Qualabtoleranzen&amp;Einheiten'!$B$6:$E$200,2,FALSE),"")</f>
        <v/>
      </c>
      <c r="AY41" s="155"/>
      <c r="AZ41" s="155"/>
      <c r="BA41" s="156"/>
    </row>
    <row r="42" spans="1:56" ht="12.75" customHeight="1" x14ac:dyDescent="0.2">
      <c r="A42" s="153"/>
      <c r="B42" s="154"/>
      <c r="C42" s="18"/>
      <c r="D42" s="128" t="s">
        <v>8</v>
      </c>
      <c r="E42" s="129"/>
      <c r="F42" s="129"/>
      <c r="G42" s="129"/>
      <c r="H42" s="129"/>
      <c r="I42" s="129"/>
      <c r="J42" s="129"/>
      <c r="K42" s="129"/>
      <c r="L42" s="129"/>
      <c r="M42" s="130"/>
      <c r="N42" s="155">
        <v>7.0000000000000007E-2</v>
      </c>
      <c r="O42" s="155"/>
      <c r="P42" s="155"/>
      <c r="Q42" s="156"/>
      <c r="R42" s="19"/>
      <c r="S42" s="153"/>
      <c r="T42" s="154"/>
      <c r="U42" s="18"/>
      <c r="V42" s="128" t="s">
        <v>8</v>
      </c>
      <c r="W42" s="129"/>
      <c r="X42" s="129"/>
      <c r="Y42" s="129"/>
      <c r="Z42" s="129"/>
      <c r="AA42" s="129"/>
      <c r="AB42" s="129"/>
      <c r="AC42" s="129"/>
      <c r="AD42" s="129"/>
      <c r="AE42" s="130"/>
      <c r="AF42" s="155">
        <v>0.14499999999999999</v>
      </c>
      <c r="AG42" s="155"/>
      <c r="AH42" s="155"/>
      <c r="AI42" s="156"/>
      <c r="AJ42" s="19"/>
      <c r="AK42" s="153"/>
      <c r="AL42" s="154"/>
      <c r="AM42" s="18"/>
      <c r="AN42" s="128" t="s">
        <v>8</v>
      </c>
      <c r="AO42" s="129"/>
      <c r="AP42" s="129"/>
      <c r="AQ42" s="129"/>
      <c r="AR42" s="129"/>
      <c r="AS42" s="129"/>
      <c r="AT42" s="129"/>
      <c r="AU42" s="129"/>
      <c r="AV42" s="129"/>
      <c r="AW42" s="130"/>
      <c r="AX42" s="155" t="str">
        <f>IFERROR(VLOOKUP(AK41,'Qualabtoleranzen&amp;Einheiten'!$B$6:$E$200,3,FALSE),"")</f>
        <v/>
      </c>
      <c r="AY42" s="155"/>
      <c r="AZ42" s="155"/>
      <c r="BA42" s="156"/>
    </row>
    <row r="43" spans="1:56" s="22" customFormat="1" ht="12.75" customHeight="1" x14ac:dyDescent="0.2">
      <c r="A43" s="142"/>
      <c r="B43" s="143"/>
      <c r="C43" s="18"/>
      <c r="D43" s="131" t="str">
        <f>IF(AND($V$4="Eine Vorlage zur Zielwertermittlung",NOT(L43="----------")),"neuer Zielwert",IF(NOT($V$4="Eine Vorlage zur Zielwertermittlung"),"Zielwert",""))</f>
        <v>Zielwert</v>
      </c>
      <c r="E43" s="132"/>
      <c r="F43" s="132"/>
      <c r="G43" s="132"/>
      <c r="H43" s="132"/>
      <c r="I43" s="132"/>
      <c r="J43" s="132"/>
      <c r="K43" s="133"/>
      <c r="L43" s="146">
        <v>35.700000000000003</v>
      </c>
      <c r="M43" s="146"/>
      <c r="N43" s="146"/>
      <c r="O43" s="147" t="str">
        <f>IFERROR(VLOOKUP(A41,'Qualabtoleranzen&amp;Einheiten'!$B$6:$E$200,4,FALSE),"Einheit")</f>
        <v>%</v>
      </c>
      <c r="P43" s="148"/>
      <c r="Q43" s="149"/>
      <c r="R43" s="19"/>
      <c r="S43" s="142"/>
      <c r="T43" s="143"/>
      <c r="U43" s="18"/>
      <c r="V43" s="131" t="str">
        <f>IF(AND($V$4="Eine Vorlage zur Zielwertermittlung",NOT(AD43="----------")),"neuer Zielwert",IF(NOT($V$4="Eine Vorlage zur Zielwertermittlung"),"Zielwert",""))</f>
        <v>Zielwert</v>
      </c>
      <c r="W43" s="132"/>
      <c r="X43" s="132"/>
      <c r="Y43" s="132"/>
      <c r="Z43" s="132"/>
      <c r="AA43" s="132"/>
      <c r="AB43" s="132"/>
      <c r="AC43" s="133"/>
      <c r="AD43" s="150">
        <v>246</v>
      </c>
      <c r="AE43" s="150"/>
      <c r="AF43" s="150"/>
      <c r="AG43" s="147" t="str">
        <f>IFERROR(VLOOKUP(S41,'Qualabtoleranzen&amp;Einheiten'!$B$6:$E$200,4,FALSE),"Einheit")</f>
        <v>x103/µL</v>
      </c>
      <c r="AH43" s="148"/>
      <c r="AI43" s="149"/>
      <c r="AJ43" s="19"/>
      <c r="AK43" s="142"/>
      <c r="AL43" s="143"/>
      <c r="AM43" s="18"/>
      <c r="AN43" s="131" t="str">
        <f>IF(AND($V$4="Eine Vorlage zur Zielwertermittlung",NOT(AV43="----------")),"neuer Zielwert",IF(NOT($V$4="Eine Vorlage zur Zielwertermittlung"),"Zielwert",""))</f>
        <v>Zielwert</v>
      </c>
      <c r="AO43" s="132"/>
      <c r="AP43" s="132"/>
      <c r="AQ43" s="132"/>
      <c r="AR43" s="132"/>
      <c r="AS43" s="132"/>
      <c r="AT43" s="132"/>
      <c r="AU43" s="133"/>
      <c r="AV43" s="150" t="str" cm="1">
        <f t="array" ref="AV43">IF(NOT($V$4="Eine Vorlage zur Zielwertermittlung"),"",IF(AND(AL49:AL73="",$V$4="Eine Vorlage zur Zielwertermittlung"),"----------",ROUND(AVERAGE(AL49:AL73),IF(AL48="0 Komastellen",0,IF(AL48="1 Komastelle",1,IF(AL48="2 Komastellen",2,IF(AL48="3 Komastellen",3,1)))))))</f>
        <v/>
      </c>
      <c r="AW43" s="150"/>
      <c r="AX43" s="150"/>
      <c r="AY43" s="147" t="str">
        <f>IFERROR(VLOOKUP(AK41,'Qualabtoleranzen&amp;Einheiten'!$B$6:$E$200,4,FALSE),"Einheit")</f>
        <v>Einheit</v>
      </c>
      <c r="AZ43" s="148"/>
      <c r="BA43" s="149"/>
      <c r="BC43" s="16"/>
    </row>
    <row r="44" spans="1:56" s="22" customFormat="1" ht="12.75" customHeight="1" x14ac:dyDescent="0.2">
      <c r="A44" s="144"/>
      <c r="B44" s="145"/>
      <c r="C44" s="18"/>
      <c r="D44" s="170" t="str">
        <f>IF(L44="","","Standardabweichung")</f>
        <v>Standardabweichung</v>
      </c>
      <c r="E44" s="170"/>
      <c r="F44" s="170"/>
      <c r="G44" s="170"/>
      <c r="H44" s="170"/>
      <c r="I44" s="170"/>
      <c r="J44" s="170"/>
      <c r="K44" s="170"/>
      <c r="L44" s="171">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71"/>
      <c r="N44" s="171"/>
      <c r="O44" s="134" t="str">
        <f>IF(L44="","",O43)</f>
        <v>%</v>
      </c>
      <c r="P44" s="134"/>
      <c r="Q44" s="134"/>
      <c r="R44" s="19"/>
      <c r="S44" s="144"/>
      <c r="T44" s="145"/>
      <c r="U44" s="18"/>
      <c r="V44" s="170" t="str">
        <f>IF(AD44="","","Standardabweichung")</f>
        <v>Standardabweichung</v>
      </c>
      <c r="W44" s="170"/>
      <c r="X44" s="170"/>
      <c r="Y44" s="170"/>
      <c r="Z44" s="170"/>
      <c r="AA44" s="170"/>
      <c r="AB44" s="170"/>
      <c r="AC44" s="170"/>
      <c r="AD44" s="171">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v>
      </c>
      <c r="AE44" s="171"/>
      <c r="AF44" s="171"/>
      <c r="AG44" s="134" t="str">
        <f>IF(AD44="","",AG43)</f>
        <v>x103/µL</v>
      </c>
      <c r="AH44" s="134"/>
      <c r="AI44" s="134"/>
      <c r="AJ44" s="19"/>
      <c r="AK44" s="144"/>
      <c r="AL44" s="145"/>
      <c r="AM44" s="18"/>
      <c r="AN44" s="170" t="str">
        <f>IF(AV44="","","Standardabweichung")</f>
        <v/>
      </c>
      <c r="AO44" s="170"/>
      <c r="AP44" s="170"/>
      <c r="AQ44" s="170"/>
      <c r="AR44" s="170"/>
      <c r="AS44" s="170"/>
      <c r="AT44" s="170"/>
      <c r="AU44" s="170"/>
      <c r="AV44" s="171"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1"/>
      <c r="AX44" s="171"/>
      <c r="AY44" s="134" t="str">
        <f>IF(AV44="","",AY43)</f>
        <v/>
      </c>
      <c r="AZ44" s="134"/>
      <c r="BA44" s="134"/>
      <c r="BC44" s="16"/>
    </row>
    <row r="45" spans="1:56" ht="13.5" x14ac:dyDescent="0.25">
      <c r="A45" s="60" t="str">
        <f>IF($V$4="Eine Vorlage zur Zielwertüberwachung","Verwendeter ZW =","")</f>
        <v/>
      </c>
      <c r="B45" s="173" t="s">
        <v>35</v>
      </c>
      <c r="C45" s="173"/>
      <c r="D45" s="174" t="str">
        <f>IF(AND($V$4="Eine Vorlage zur Zielwertüberwachung",NOT(O45="")),"errechneter Mittelwert:","")</f>
        <v/>
      </c>
      <c r="E45" s="174"/>
      <c r="F45" s="174"/>
      <c r="G45" s="174"/>
      <c r="H45" s="174"/>
      <c r="I45" s="174"/>
      <c r="J45" s="174"/>
      <c r="K45" s="174"/>
      <c r="L45" s="174"/>
      <c r="M45" s="174"/>
      <c r="N45" s="174"/>
      <c r="O45" s="175" t="str" cm="1">
        <f t="array" ref="O45">IF(OR(AND(B49:B73=""),NOT($V$4="Eine Vorlage zur Zielwertüberwachung")),"",ROUND(AVERAGE(B49:B73),IF(B48="0 Komastellen",0,IF(B48="1 Komastelle",1,IF(B48="2 Komastellen",2,IF(B48="3 Komastellen",3,1))))))</f>
        <v/>
      </c>
      <c r="P45" s="175"/>
      <c r="Q45" s="175"/>
      <c r="R45" s="20"/>
      <c r="S45" s="60" t="str">
        <f>IF($V$4="Eine Vorlage zur Zielwertüberwachung","Verwendeter ZW =","")</f>
        <v/>
      </c>
      <c r="T45" s="173" t="s">
        <v>35</v>
      </c>
      <c r="U45" s="173"/>
      <c r="V45" s="174" t="str">
        <f>IF(AND($V$4="Eine Vorlage zur Zielwertüberwachung",NOT(AG45="")),"errechneter Mittelwert:","")</f>
        <v/>
      </c>
      <c r="W45" s="174"/>
      <c r="X45" s="174"/>
      <c r="Y45" s="174"/>
      <c r="Z45" s="174"/>
      <c r="AA45" s="174"/>
      <c r="AB45" s="174"/>
      <c r="AC45" s="174"/>
      <c r="AD45" s="174"/>
      <c r="AE45" s="174"/>
      <c r="AF45" s="174"/>
      <c r="AG45" s="175" t="str" cm="1">
        <f t="array" ref="AG45">IF(OR(AND(T49:T73=""),NOT($V$4="Eine Vorlage zur Zielwertüberwachung")),"",ROUND(AVERAGE(T49:T73),IF(T48="0 Komastellen",0,IF(T48="1 Komastelle",1,IF(T48="2 Komastellen",2,IF(T48="3 Komastellen",3,1))))))</f>
        <v/>
      </c>
      <c r="AH45" s="175"/>
      <c r="AI45" s="175"/>
      <c r="AK45" s="60" t="str">
        <f>IF($V$4="Eine Vorlage zur Zielwertüberwachung","Verwendeter ZW =","")</f>
        <v/>
      </c>
      <c r="AL45" s="173" t="s">
        <v>35</v>
      </c>
      <c r="AM45" s="173"/>
      <c r="AN45" s="174" t="str">
        <f>IF(AND($V$4="Eine Vorlage zur Zielwertüberwachung",NOT(AY45="")),"errechneter Mittelwert:","")</f>
        <v/>
      </c>
      <c r="AO45" s="174"/>
      <c r="AP45" s="174"/>
      <c r="AQ45" s="174"/>
      <c r="AR45" s="174"/>
      <c r="AS45" s="174"/>
      <c r="AT45" s="174"/>
      <c r="AU45" s="174"/>
      <c r="AV45" s="174"/>
      <c r="AW45" s="174"/>
      <c r="AX45" s="174"/>
      <c r="AY45" s="175" t="str" cm="1">
        <f t="array" ref="AY45">IF(OR(AND(AL49:AL73=""),NOT($V$4="Eine Vorlage zur Zielwertüberwachung")),"",ROUND(AVERAGE(AL49:AL73),IF(AL48="0 Komastellen",0,IF(AL48="1 Komastelle",1,IF(AL48="2 Komastellen",2,IF(AL48="3 Komastellen",3,1))))))</f>
        <v/>
      </c>
      <c r="AZ45" s="175"/>
      <c r="BA45" s="175"/>
    </row>
    <row r="46" spans="1:56" x14ac:dyDescent="0.2">
      <c r="A46" s="48" t="s">
        <v>1</v>
      </c>
      <c r="B46" s="42" t="str">
        <f>O43</f>
        <v>%</v>
      </c>
      <c r="C46" s="43"/>
      <c r="D46" s="140" t="s">
        <v>2</v>
      </c>
      <c r="E46" s="141"/>
      <c r="F46" s="140" t="s">
        <v>3</v>
      </c>
      <c r="G46" s="141"/>
      <c r="H46" s="140" t="s">
        <v>4</v>
      </c>
      <c r="I46" s="141"/>
      <c r="J46" s="139" t="str">
        <f>IF(AND($V$4="Eine Vorlage zur Zielwertüberwachung",B45="errechneter Mw"),"Mw","Zw")</f>
        <v>Zw</v>
      </c>
      <c r="K46" s="141"/>
      <c r="L46" s="139" t="s">
        <v>5</v>
      </c>
      <c r="M46" s="135"/>
      <c r="N46" s="140" t="s">
        <v>6</v>
      </c>
      <c r="O46" s="135"/>
      <c r="P46" s="134" t="s">
        <v>7</v>
      </c>
      <c r="Q46" s="135"/>
      <c r="R46" s="21"/>
      <c r="S46" s="48" t="s">
        <v>1</v>
      </c>
      <c r="T46" s="42" t="str">
        <f>AG43</f>
        <v>x103/µL</v>
      </c>
      <c r="U46" s="43"/>
      <c r="V46" s="140" t="s">
        <v>2</v>
      </c>
      <c r="W46" s="141"/>
      <c r="X46" s="140" t="s">
        <v>3</v>
      </c>
      <c r="Y46" s="141"/>
      <c r="Z46" s="140" t="s">
        <v>4</v>
      </c>
      <c r="AA46" s="141"/>
      <c r="AB46" s="139" t="str">
        <f>IF(AND($V$4="Eine Vorlage zur Zielwertüberwachung",T45="errechneter Mw"),"Mw","Zw")</f>
        <v>Zw</v>
      </c>
      <c r="AC46" s="141"/>
      <c r="AD46" s="139" t="s">
        <v>5</v>
      </c>
      <c r="AE46" s="135"/>
      <c r="AF46" s="140" t="s">
        <v>6</v>
      </c>
      <c r="AG46" s="135"/>
      <c r="AH46" s="134" t="s">
        <v>7</v>
      </c>
      <c r="AI46" s="135"/>
      <c r="AJ46" s="19"/>
      <c r="AK46" s="48" t="s">
        <v>1</v>
      </c>
      <c r="AL46" s="42" t="str">
        <f>AY43</f>
        <v>Einheit</v>
      </c>
      <c r="AM46" s="43"/>
      <c r="AN46" s="140" t="s">
        <v>2</v>
      </c>
      <c r="AO46" s="141"/>
      <c r="AP46" s="140" t="s">
        <v>3</v>
      </c>
      <c r="AQ46" s="141"/>
      <c r="AR46" s="140" t="s">
        <v>4</v>
      </c>
      <c r="AS46" s="141"/>
      <c r="AT46" s="139" t="str">
        <f>IF(AND($V$4="Eine Vorlage zur Zielwertüberwachung",AL45="errechneter Mw"),"Mw","Zw")</f>
        <v>Zw</v>
      </c>
      <c r="AU46" s="141"/>
      <c r="AV46" s="139" t="s">
        <v>5</v>
      </c>
      <c r="AW46" s="135"/>
      <c r="AX46" s="140" t="s">
        <v>6</v>
      </c>
      <c r="AY46" s="135"/>
      <c r="AZ46" s="134" t="s">
        <v>7</v>
      </c>
      <c r="BA46" s="135"/>
      <c r="BC46" s="176" t="s">
        <v>261</v>
      </c>
      <c r="BD46" s="177"/>
    </row>
    <row r="47" spans="1:56" x14ac:dyDescent="0.2">
      <c r="A47" s="44" t="s">
        <v>10</v>
      </c>
      <c r="B47" s="47" t="s">
        <v>28</v>
      </c>
      <c r="C47" s="43"/>
      <c r="D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33.300000000000004</v>
      </c>
      <c r="E47" s="137"/>
      <c r="F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34.1</v>
      </c>
      <c r="G47" s="137"/>
      <c r="H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34.9</v>
      </c>
      <c r="I47" s="137"/>
      <c r="J47" s="13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35.700000000000003</v>
      </c>
      <c r="K47" s="137"/>
      <c r="L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36.5</v>
      </c>
      <c r="M47" s="137"/>
      <c r="N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37.299999999999997</v>
      </c>
      <c r="O47" s="137"/>
      <c r="P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38.1</v>
      </c>
      <c r="Q47" s="137"/>
      <c r="R47" s="41"/>
      <c r="S47" s="44" t="s">
        <v>10</v>
      </c>
      <c r="T47" s="47" t="s">
        <v>28</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211</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223</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235</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246</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257</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269</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281</v>
      </c>
      <c r="AI47" s="126"/>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8"/>
      <c r="BD47" s="179"/>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80"/>
      <c r="BD49" s="181"/>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80"/>
      <c r="BD50" s="181"/>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80"/>
      <c r="BD51" s="181"/>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80"/>
      <c r="BD52" s="181"/>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80"/>
      <c r="BD53" s="181"/>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80"/>
      <c r="BD54" s="181"/>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80"/>
      <c r="BD55" s="181"/>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80"/>
      <c r="BD56" s="181"/>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80"/>
      <c r="BD57" s="181"/>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80"/>
      <c r="BD58" s="181"/>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80"/>
      <c r="BD59" s="181"/>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80"/>
      <c r="BD60" s="181"/>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80"/>
      <c r="BD61" s="181"/>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80"/>
      <c r="BD62" s="181"/>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80"/>
      <c r="BD63" s="181"/>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80"/>
      <c r="BD64" s="181"/>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80"/>
      <c r="BD65" s="181"/>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80"/>
      <c r="BD66" s="181"/>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80"/>
      <c r="BD67" s="181"/>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80"/>
      <c r="BD68" s="181"/>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80"/>
      <c r="BD69" s="181"/>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80"/>
      <c r="BD70" s="181"/>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80"/>
      <c r="BD71" s="181"/>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80"/>
      <c r="BD72" s="181"/>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80"/>
      <c r="BD73" s="181"/>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ms/ufWtl6Ry0Zb0sTnArij2gnWU6A9uaZKTpFl9Agt6KrKmX77GOAdsv4P81MuH3ulQJPXwW0UKOBApdC87iCQ==" saltValue="tehWl5VQGvLnSiC4udwgyg=="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25.03.2026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7" t="str">
        <f>Dokumentationshilfe!C1</f>
        <v>Mythic 22</v>
      </c>
      <c r="C2" s="188"/>
      <c r="D2" s="188"/>
      <c r="E2" s="188"/>
      <c r="F2" s="188"/>
      <c r="G2" s="189"/>
    </row>
    <row r="3" spans="2:7" x14ac:dyDescent="0.2">
      <c r="B3" s="190"/>
      <c r="C3" s="191"/>
      <c r="D3" s="191"/>
      <c r="E3" s="191"/>
      <c r="F3" s="191"/>
      <c r="G3" s="192"/>
    </row>
    <row r="4" spans="2:7" x14ac:dyDescent="0.2">
      <c r="B4" s="190"/>
      <c r="C4" s="191"/>
      <c r="D4" s="191"/>
      <c r="E4" s="191"/>
      <c r="F4" s="191"/>
      <c r="G4" s="192"/>
    </row>
    <row r="5" spans="2:7" ht="18.75" thickBot="1" x14ac:dyDescent="0.3">
      <c r="B5" s="193" t="str">
        <f>Dokumentationshilfe!C3</f>
        <v>Myt-5D</v>
      </c>
      <c r="C5" s="194"/>
      <c r="D5" s="195" t="str">
        <f>CONCATENATE(Dokumentationshilfe!S3,Dokumentationshilfe!T3)</f>
        <v>Lot: MYT2604</v>
      </c>
      <c r="E5" s="195"/>
      <c r="F5" s="196" t="str">
        <f>CONCATENATE(Dokumentationshilfe!AF3,TEXT(Dokumentationshilfe!AK3,"TT.MM.JJJJ"))</f>
        <v>Verfall: 05.06.2026</v>
      </c>
      <c r="G5" s="197"/>
    </row>
    <row r="6" spans="2:7" ht="13.5" thickBot="1" x14ac:dyDescent="0.25"/>
    <row r="7" spans="2:7" ht="17.25" thickBot="1" x14ac:dyDescent="0.3">
      <c r="B7" s="65" t="s">
        <v>50</v>
      </c>
      <c r="C7" s="66" t="s">
        <v>212</v>
      </c>
      <c r="D7" s="198" t="s">
        <v>213</v>
      </c>
      <c r="E7" s="198"/>
      <c r="F7" s="198"/>
      <c r="G7" s="65" t="s">
        <v>1</v>
      </c>
    </row>
    <row r="8" spans="2:7" ht="15.75" thickBot="1" x14ac:dyDescent="0.25">
      <c r="B8" s="67" t="str">
        <f>Dokumentationshilfe!A5</f>
        <v>WBC</v>
      </c>
      <c r="C8" s="68">
        <f>Dokumentationshilfe!J11</f>
        <v>7.7</v>
      </c>
      <c r="D8" s="186" t="str">
        <f>CONCATENATE(Dokumentationshilfe!D11," - ",Dokumentationshilfe!P11)</f>
        <v>6.5 - 8.9</v>
      </c>
      <c r="E8" s="186"/>
      <c r="F8" s="186"/>
      <c r="G8" s="67" t="str">
        <f>Dokumentationshilfe!O7</f>
        <v>x103/µL</v>
      </c>
    </row>
    <row r="9" spans="2:7" ht="15.75" thickBot="1" x14ac:dyDescent="0.25">
      <c r="B9" s="67" t="str">
        <f>Dokumentationshilfe!S5</f>
        <v>RBC</v>
      </c>
      <c r="C9" s="68">
        <f>Dokumentationshilfe!AB11</f>
        <v>4.2</v>
      </c>
      <c r="D9" s="186" t="str">
        <f>CONCATENATE(Dokumentationshilfe!V11," - ",Dokumentationshilfe!AH11)</f>
        <v>4.01 - 4.39</v>
      </c>
      <c r="E9" s="186"/>
      <c r="F9" s="186"/>
      <c r="G9" s="67" t="str">
        <f>Dokumentationshilfe!AG7</f>
        <v>x106/µl</v>
      </c>
    </row>
    <row r="10" spans="2:7" ht="15.75" thickBot="1" x14ac:dyDescent="0.25">
      <c r="B10" s="67" t="str">
        <f>Dokumentationshilfe!AK5</f>
        <v>Hb</v>
      </c>
      <c r="C10" s="68">
        <f>Dokumentationshilfe!AT11</f>
        <v>13.4</v>
      </c>
      <c r="D10" s="186" t="str">
        <f>CONCATENATE(Dokumentationshilfe!AN11," - ",Dokumentationshilfe!AZ11)</f>
        <v>12.7 - 14.1</v>
      </c>
      <c r="E10" s="186"/>
      <c r="F10" s="186"/>
      <c r="G10" s="67" t="str">
        <f>Dokumentationshilfe!AY7</f>
        <v>g/dl</v>
      </c>
    </row>
    <row r="11" spans="2:7" ht="15.75" thickBot="1" x14ac:dyDescent="0.25">
      <c r="B11" s="67" t="str">
        <f>Dokumentationshilfe!A41</f>
        <v>HCT</v>
      </c>
      <c r="C11" s="68">
        <f>Dokumentationshilfe!J47</f>
        <v>35.700000000000003</v>
      </c>
      <c r="D11" s="186" t="str">
        <f>CONCATENATE(Dokumentationshilfe!D47," - ",Dokumentationshilfe!P47)</f>
        <v>33.3 - 38.1</v>
      </c>
      <c r="E11" s="186"/>
      <c r="F11" s="186"/>
      <c r="G11" s="67" t="str">
        <f>Dokumentationshilfe!O43</f>
        <v>%</v>
      </c>
    </row>
    <row r="12" spans="2:7" ht="15.75" thickBot="1" x14ac:dyDescent="0.25">
      <c r="B12" s="67" t="str">
        <f>Dokumentationshilfe!S41</f>
        <v>PLT</v>
      </c>
      <c r="C12" s="68">
        <f>Dokumentationshilfe!AB47</f>
        <v>246</v>
      </c>
      <c r="D12" s="186" t="str">
        <f>CONCATENATE(Dokumentationshilfe!V47," - ",Dokumentationshilfe!AH47)</f>
        <v>211 - 281</v>
      </c>
      <c r="E12" s="186"/>
      <c r="F12" s="186"/>
      <c r="G12" s="67" t="str">
        <f>Dokumentationshilfe!AG43</f>
        <v>x103/µL</v>
      </c>
    </row>
    <row r="13" spans="2:7" ht="15.75" thickBot="1" x14ac:dyDescent="0.25">
      <c r="B13" s="67" t="str">
        <f>Dokumentationshilfe!AK41</f>
        <v>Test</v>
      </c>
      <c r="C13" s="68" t="str">
        <f>Dokumentationshilfe!AT47</f>
        <v/>
      </c>
      <c r="D13" s="186" t="str">
        <f>CONCATENATE(Dokumentationshilfe!AN47," - ",Dokumentationshilfe!AZ47)</f>
        <v xml:space="preserve"> - </v>
      </c>
      <c r="E13" s="186"/>
      <c r="F13" s="186"/>
      <c r="G13" s="67" t="str">
        <f>Dokumentationshilfe!AY43</f>
        <v>Einheit</v>
      </c>
    </row>
    <row r="14" spans="2:7" ht="15" x14ac:dyDescent="0.2">
      <c r="B14" s="69"/>
      <c r="C14" s="70"/>
      <c r="D14" s="200"/>
      <c r="E14" s="200"/>
      <c r="F14" s="200"/>
      <c r="G14" s="69"/>
    </row>
    <row r="15" spans="2:7" ht="15" x14ac:dyDescent="0.2">
      <c r="B15" s="71"/>
      <c r="C15" s="72"/>
      <c r="D15" s="199"/>
      <c r="E15" s="199"/>
      <c r="F15" s="199"/>
      <c r="G15" s="71"/>
    </row>
    <row r="16" spans="2:7" ht="15" x14ac:dyDescent="0.2">
      <c r="B16" s="71"/>
      <c r="C16" s="72"/>
      <c r="D16" s="199"/>
      <c r="E16" s="199"/>
      <c r="F16" s="199"/>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6" t="s">
        <v>214</v>
      </c>
      <c r="C2" s="207"/>
      <c r="D2" s="207"/>
      <c r="E2" s="207"/>
      <c r="F2" s="207"/>
      <c r="G2" s="208"/>
      <c r="I2" s="206" t="s">
        <v>215</v>
      </c>
      <c r="J2" s="207"/>
      <c r="K2" s="207"/>
      <c r="L2" s="207"/>
      <c r="M2" s="208"/>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14" t="s">
        <v>221</v>
      </c>
      <c r="J4" s="215"/>
      <c r="K4" s="215"/>
      <c r="L4" s="215"/>
      <c r="M4" s="216"/>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7.7</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17" t="str">
        <f>IF(OR(F5="VK manuell eingeben",F5="Parameter eingeben"),"",IF(OR(F5=0,F5=""),"",IF(AND(E5="",F5&lt;&gt;"",F5&lt;&gt;0),_xlfn.CONCAT(Hilfstabelle!Q39,MAX(C5,D5)-F5,Hilfstabelle!Q40,MAX(C5,D5)+F5,Hilfstabelle!Q41),IF(E5&lt;F5,Hilfstabelle!Q43,IF(E5&gt;F5,Hilfstabelle!Q44,"")))))</f>
        <v/>
      </c>
      <c r="D7" s="217"/>
      <c r="E7" s="217"/>
      <c r="F7" s="217"/>
      <c r="G7" s="218"/>
      <c r="I7" s="92" t="str">
        <f>Dokumentationshilfe!S5</f>
        <v>RBC</v>
      </c>
      <c r="J7" s="93"/>
      <c r="K7" s="93"/>
      <c r="L7" s="94">
        <f>Dokumentationshilfe!AB11</f>
        <v>4.2</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9"/>
      <c r="D8" s="219"/>
      <c r="E8" s="219"/>
      <c r="F8" s="219"/>
      <c r="G8" s="220"/>
      <c r="I8" s="118" t="str">
        <f>Dokumentationshilfe!AK5</f>
        <v>Hb</v>
      </c>
      <c r="J8" s="119"/>
      <c r="K8" s="119"/>
      <c r="L8" s="120">
        <f>Dokumentationshilfe!AT11</f>
        <v>13.4</v>
      </c>
      <c r="M8" s="121" t="str">
        <f t="shared" si="0"/>
        <v>Analysesystem wählen</v>
      </c>
    </row>
    <row r="9" spans="2:13" ht="16.5" customHeight="1" thickBot="1" x14ac:dyDescent="0.25">
      <c r="B9" s="101"/>
      <c r="C9" s="221"/>
      <c r="D9" s="221"/>
      <c r="E9" s="221"/>
      <c r="F9" s="221"/>
      <c r="G9" s="222"/>
      <c r="I9" s="92" t="str">
        <f>Dokumentationshilfe!A41</f>
        <v>HCT</v>
      </c>
      <c r="J9" s="93"/>
      <c r="K9" s="93"/>
      <c r="L9" s="94">
        <f>Dokumentationshilfe!J47</f>
        <v>35.700000000000003</v>
      </c>
      <c r="M9" s="95" t="str">
        <f t="shared" si="0"/>
        <v>Analysesystem wählen</v>
      </c>
    </row>
    <row r="10" spans="2:13" ht="16.5" customHeight="1" thickTop="1" x14ac:dyDescent="0.2">
      <c r="I10" s="92" t="str">
        <f>Dokumentationshilfe!S41</f>
        <v>PLT</v>
      </c>
      <c r="J10" s="93"/>
      <c r="K10" s="93"/>
      <c r="L10" s="94">
        <f>Dokumentationshilfe!AB47</f>
        <v>246</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23" t="s">
        <v>227</v>
      </c>
      <c r="C12" s="224"/>
      <c r="D12" s="224"/>
      <c r="E12" s="224"/>
      <c r="F12" s="224"/>
      <c r="G12" s="225"/>
    </row>
    <row r="13" spans="2:13" ht="16.5" customHeight="1" thickBot="1" x14ac:dyDescent="0.25">
      <c r="B13" s="90"/>
      <c r="G13" s="91"/>
    </row>
    <row r="14" spans="2:13" ht="16.5" customHeight="1" x14ac:dyDescent="0.2">
      <c r="B14" s="102" t="s">
        <v>228</v>
      </c>
      <c r="C14" s="213" t="s">
        <v>229</v>
      </c>
      <c r="D14" s="213"/>
      <c r="E14" s="103" t="s">
        <v>230</v>
      </c>
      <c r="F14" s="104" t="s">
        <v>231</v>
      </c>
      <c r="G14" s="105"/>
    </row>
    <row r="15" spans="2:13" ht="16.5" customHeight="1" thickBot="1" x14ac:dyDescent="0.25">
      <c r="B15" s="106"/>
      <c r="C15" s="205"/>
      <c r="D15" s="205"/>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6" t="s">
        <v>232</v>
      </c>
      <c r="C18" s="207"/>
      <c r="D18" s="207"/>
      <c r="E18" s="207"/>
      <c r="F18" s="207"/>
      <c r="G18" s="208"/>
    </row>
    <row r="19" spans="2:7" ht="16.5" customHeight="1" thickBot="1" x14ac:dyDescent="0.25">
      <c r="B19" s="76"/>
      <c r="C19" s="77"/>
      <c r="D19" s="77"/>
      <c r="E19" s="77"/>
      <c r="F19" s="77"/>
      <c r="G19" s="78"/>
    </row>
    <row r="20" spans="2:7" ht="16.5" customHeight="1" x14ac:dyDescent="0.2">
      <c r="B20" s="209" t="s">
        <v>233</v>
      </c>
      <c r="C20" s="210"/>
      <c r="D20" s="211" t="str">
        <f>CONCATENATE("Mittelwert der Messwerte von ",C21," (MW):")</f>
        <v>Mittelwert der Messwerte von Auswahl (MW):</v>
      </c>
      <c r="E20" s="212"/>
      <c r="F20" s="212"/>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01" t="str">
        <f>CONCATENATE("Variationskoeffiezient der Messwerte von ",C21," (VK):")</f>
        <v>Variationskoeffiezient der Messwerte von Auswahl (VK):</v>
      </c>
      <c r="E21" s="202"/>
      <c r="F21" s="202"/>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1" t="str">
        <f>CONCATENATE("Standardabweichung der Messwerte von ",C21," (s):")</f>
        <v>Standardabweichung der Messwerte von Auswahl (s):</v>
      </c>
      <c r="E22" s="202"/>
      <c r="F22" s="202"/>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1" t="str">
        <f>CONCATENATE("Maximale absolute Spannweite der Messwerte von ",C21,":")</f>
        <v>Maximale absolute Spannweite der Messwerte von Auswahl:</v>
      </c>
      <c r="E23" s="202"/>
      <c r="F23" s="202"/>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1" t="str">
        <f>CONCATENATE("Maximale relative Spannweite der Messwerte von ",C21," in s:")</f>
        <v>Maximale relative Spannweite der Messwerte von Auswahl in s:</v>
      </c>
      <c r="E24" s="202"/>
      <c r="F24" s="202"/>
      <c r="G24" s="112" t="str">
        <f>IF(OR(C21="Auswahl",C21=""),"Parameter auswählen",IFERROR(_xlfn.TEXTJOIN( ,FALSE,ROUND(G23/G22,2)," s"),"0"))</f>
        <v>Parameter auswählen</v>
      </c>
    </row>
    <row r="25" spans="2:7" ht="16.5" customHeight="1" x14ac:dyDescent="0.2">
      <c r="B25" s="90"/>
      <c r="D25" s="201" t="str">
        <f>CONCATENATE("max. rel. Spannweite der Messwerte von ",C21," in s (s gemäss Qualab):")</f>
        <v>max. rel. Spannweite der Messwerte von Auswahl in s (s gemäss Qualab):</v>
      </c>
      <c r="E25" s="202"/>
      <c r="F25" s="202"/>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3" t="str">
        <f>CONCATENATE("Anzahl Messungen des Parameter ",C21,":")</f>
        <v>Anzahl Messungen des Parameter Auswahl:</v>
      </c>
      <c r="E26" s="204"/>
      <c r="F26" s="204"/>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49</v>
      </c>
      <c r="C3" s="226"/>
      <c r="D3" s="226"/>
      <c r="E3" s="226"/>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206</v>
      </c>
      <c r="R28" s="227"/>
      <c r="S28" s="227"/>
      <c r="T28" s="227"/>
      <c r="U28" s="227"/>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61</v>
      </c>
      <c r="AC31" t="s">
        <v>96</v>
      </c>
      <c r="AD31">
        <v>1000000</v>
      </c>
    </row>
    <row r="32" spans="3:30" ht="13.5" thickBot="1" x14ac:dyDescent="0.25">
      <c r="Q32" s="227"/>
      <c r="R32" s="227"/>
      <c r="S32" s="227"/>
      <c r="T32" s="227"/>
      <c r="U32" s="227"/>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7"/>
      <c r="R33" s="227"/>
      <c r="S33" s="227"/>
      <c r="T33" s="227"/>
      <c r="U33" s="227"/>
      <c r="V33" s="64"/>
      <c r="W33" s="64"/>
    </row>
    <row r="34" spans="3:30" x14ac:dyDescent="0.2">
      <c r="C34" s="4"/>
      <c r="L34" s="7"/>
      <c r="Q34" s="227"/>
      <c r="R34" s="227"/>
      <c r="S34" s="227"/>
      <c r="T34" s="227"/>
      <c r="U34" s="227"/>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7"/>
      <c r="R35" s="227"/>
      <c r="S35" s="227"/>
      <c r="T35" s="227"/>
      <c r="U35" s="227"/>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2026-03-25T09:12:22Z</dcterms:modified>
</cp:coreProperties>
</file>