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
    </mc:Choice>
  </mc:AlternateContent>
  <xr:revisionPtr revIDLastSave="0" documentId="13_ncr:1_{608C483F-BEB4-4107-BAF9-602A6799984D}" xr6:coauthVersionLast="47" xr6:coauthVersionMax="47" xr10:uidLastSave="{00000000-0000-0000-0000-000000000000}"/>
  <bookViews>
    <workbookView xWindow="31875" yWindow="1035" windowWidth="23460" windowHeight="1560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<sst xmlns="http://schemas.openxmlformats.org/spreadsheetml/2006/main" count="1048" uniqueCount="265">
  <si>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</si>
  <si>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</si>
  <si>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</si>
  <si>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</si>
  <si>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</si>
  <si>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</si>
  <si>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</si>
  <si>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</si>
  <si>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</si>
  <si>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</si>
  <si>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</si>
  <si>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</si>
  <si>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</si>
  <si>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</si>
  <si>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</si>
  <si>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</si>
  <si>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</si>
  <si>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</si>
  <si>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</si>
  <si>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</si>
  <si>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</si>
  <si>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</si>
  <si>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</si>
  <si>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</si>
  <si>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</si>
  <si>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</si>
  <si>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</si>
  <si>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</si>
  <si>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</si>
  <si>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</si>
  <si>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</si>
  <si>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</si>
  <si>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</si>
  <si>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</si>
  <si>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</si>
  <si>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</si>
  <si>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</si>
  <si>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</si>
  <si>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</si>
  <si>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</si>
  <si>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</si>
  <si>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</si>
  <si>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</si>
  <si>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</si>
  <si>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</si>
  <si>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</si>
  <si>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</si>
  <si>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</si>
  <si>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</si>
  <si>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</si>
  <si>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</si>
  <si>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</si>
  <si>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</si>
  <si>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</si>
  <si>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</si>
  <si>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</si>
  <si>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</si>
  <si>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</si>
  <si>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</si>
  <si>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</si>
  <si>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</si>
  <si>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</si>
  <si>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</si>
  <si>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</si>
  <si>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</si>
  <si>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</si>
  <si>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</si>
  <si>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</si>
  <si>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</si>
  <si>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</si>
  <si>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</si>
  <si>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</si>
  <si>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</si>
  <si>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</si>
  <si>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</si>
  <si>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</si>
  <si>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</si>
  <si>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</si>
  <si>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</si>
  <si>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</si>
  <si>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</si>
  <si>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</si>
  <si>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</si>
  <si>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</si>
  <si>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</si>
  <si>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</si>
  <si>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</si>
  <si>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</si>
  <si>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</si>
  <si>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</si>
  <si>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</si>
  <si>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</si>
  <si>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</si>
  <si>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</si>
  <si>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</si>
  <si>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</si>
  <si>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</si>
  <si>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</si>
  <si>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</si>
  <si>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</si>
  <si>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</si>
  <si>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</si>
  <si>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</si>
  <si>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</si>
  <si>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</si>
  <si>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</si>
  <si>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</si>
  <si>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</si>
  <si>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</si>
  <si>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</si>
  <si>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</si>
  <si>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</si>
  <si>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</si>
  <si>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</si>
  <si>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</si>
  <si>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</si>
  <si>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</si>
  <si>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</si>
  <si>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</si>
  <si>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</si>
  <si>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</si>
  <si>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</si>
  <si>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</si>
  <si>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</si>
  <si>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</si>
  <si>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</si>
  <si>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</si>
  <si>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</si>
  <si>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</si>
  <si>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</si>
  <si>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</si>
  <si>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</si>
  <si>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</si>
  <si>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</si>
  <si>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</si>
  <si>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</si>
  <si>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</si>
  <si>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</si>
  <si>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</si>
  <si>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</si>
  <si>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</si>
  <si>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</si>
  <si>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</si>
  <si>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</si>
  <si>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</si>
  <si>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</si>
  <si>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</si>
  <si>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</si>
  <si>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</si>
  <si>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</si>
  <si>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</si>
  <si>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</si>
  <si>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</si>
  <si>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</si>
  <si>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</si>
  <si>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</si>
  <si>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</si>
  <si>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</si>
  <si>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</si>
  <si>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</si>
  <si>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</si>
  <si>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</si>
  <si>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</si>
  <si>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</si>
  <si>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</si>
  <si>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</si>
  <si>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</si>
  <si>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</si>
  <si>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</si>
  <si>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</si>
  <si>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</si>
  <si>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</si>
  <si>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</si>
  <si>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</si>
  <si>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</si>
  <si>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</si>
  <si>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</si>
  <si>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</si>
  <si>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</si>
  <si>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</si>
  <si>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</si>
  <si>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</si>
  <si>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</si>
  <si>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</si>
  <si>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</si>
  <si>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</si>
  <si>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</si>
  <si>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</si>
  <si>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</si>
  <si>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</si>
  <si>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</si>
  <si>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</si>
  <si>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</si>
  <si>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</si>
  <si>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</si>
  <si>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</si>
  <si>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</si>
  <si>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</si>
  <si>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</si>
  <si>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</si>
  <si>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</si>
  <si>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</si>
  <si>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</si>
  <si>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</si>
  <si>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</si>
  <si>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</si>
  <si>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</si>
  <si>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</si>
  <si>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</si>
  <si>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</si>
  <si>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</si>
  <si>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</si>
  <si>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</si>
  <si>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</si>
  <si>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</si>
  <si>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</si>
  <si>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</si>
  <si>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</si>
  <si>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</si>
  <si>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</si>
  <si>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</si>
  <si>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</si>
  <si>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</si>
  <si>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</si>
  <si>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</si>
  <si>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</si>
  <si>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</si>
  <si>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</si>
  <si>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</si>
  <si>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</si>
  <si>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</si>
  <si>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</si>
  <si>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</si>
  <si>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</si>
  <si>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</si>
  <si>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</si>
  <si>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</si>
  <si>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</si>
  <si>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</si>
  <si>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</si>
  <si>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</si>
  <si>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</si>
  <si>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</si>
  <si>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</si>
  <si>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</si>
  <si>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</si>
  <si>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</si>
  <si>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</si>
  <si>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</si>
  <si>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</si>
  <si>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</si>
  <si>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</si>
  <si>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</si>
  <si>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</si>
  <si>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</si>
  <si>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</si>
  <si>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</si>
  <si>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</si>
  <si>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</si>
  <si>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</si>
  <si>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</si>
  <si>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</si>
  <si>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</si>
  <si>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</si>
  <si>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MYT2508N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</si>
</sst>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quotePrefix="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2" fillId="0" borderId="21" xfId="0" quotePrefix="1" applyNumberFormat="1" applyFont="1" applyBorder="1" applyAlignment="1">
      <alignment horizontal="center" vertical="center"/>
    </xf>
    <xf numFmtId="2" fontId="2" fillId="0" borderId="21" xfId="0" quotePrefix="1" applyNumberFormat="1" applyFont="1" applyBorder="1" applyAlignment="1">
      <alignment horizontal="center"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S20" sqref="S20"/>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9"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0"/>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1" t="s">
        <v>25</v>
      </c>
      <c r="B3" s="172"/>
      <c r="C3" s="173" t="s">
        <v>263</v>
      </c>
      <c r="D3" s="173"/>
      <c r="E3" s="173"/>
      <c r="F3" s="173"/>
      <c r="G3" s="173"/>
      <c r="H3" s="173"/>
      <c r="I3" s="173"/>
      <c r="J3" s="173"/>
      <c r="K3" s="173"/>
      <c r="L3" s="173"/>
      <c r="M3" s="173"/>
      <c r="N3" s="173"/>
      <c r="O3" s="173"/>
      <c r="P3" s="173"/>
      <c r="Q3" s="173"/>
      <c r="R3" s="122"/>
      <c r="S3" s="122" t="s">
        <v>27</v>
      </c>
      <c r="T3" s="173" t="s">
        <v>264</v>
      </c>
      <c r="U3" s="173"/>
      <c r="V3" s="173"/>
      <c r="W3" s="173"/>
      <c r="X3" s="173"/>
      <c r="Y3" s="173"/>
      <c r="Z3" s="173"/>
      <c r="AA3" s="173"/>
      <c r="AB3" s="173"/>
      <c r="AC3" s="173"/>
      <c r="AD3" s="173"/>
      <c r="AE3" s="173"/>
      <c r="AF3" s="172" t="s">
        <v>29</v>
      </c>
      <c r="AG3" s="172"/>
      <c r="AH3" s="172"/>
      <c r="AI3" s="172"/>
      <c r="AJ3" s="172"/>
      <c r="AK3" s="131">
        <v>45935</v>
      </c>
      <c r="AL3" s="131"/>
      <c r="AM3" s="131"/>
      <c r="AN3" s="131"/>
      <c r="AO3" s="131"/>
      <c r="AP3" s="131"/>
      <c r="AQ3" s="131"/>
      <c r="AR3" s="131"/>
      <c r="AS3" s="131"/>
      <c r="AT3" s="131"/>
      <c r="AU3" s="132"/>
      <c r="AV3" s="17"/>
      <c r="AW3" s="17"/>
      <c r="AX3" s="17"/>
      <c r="AY3" s="17"/>
      <c r="AZ3" s="17"/>
      <c r="BA3" s="17"/>
    </row>
    <row r="4" spans="1:56" ht="14.25" customHeight="1" x14ac:dyDescent="0.2">
      <c r="A4" s="179" t="str">
        <f>IF(V4="","Welche Art von Vorlage wird benötigt? Wählen Sie im orangen Feld (rechts) aus.","")</f>
        <v/>
      </c>
      <c r="B4" s="179"/>
      <c r="C4" s="179"/>
      <c r="D4" s="179"/>
      <c r="E4" s="179"/>
      <c r="F4" s="179"/>
      <c r="G4" s="179"/>
      <c r="H4" s="179"/>
      <c r="I4" s="179"/>
      <c r="J4" s="179"/>
      <c r="K4" s="179"/>
      <c r="L4" s="179"/>
      <c r="M4" s="179"/>
      <c r="N4" s="179"/>
      <c r="O4" s="179"/>
      <c r="P4" s="179"/>
      <c r="Q4" s="179"/>
      <c r="R4" s="179"/>
      <c r="S4" s="179"/>
      <c r="T4" s="179"/>
      <c r="U4" s="179"/>
      <c r="V4" s="178" t="s">
        <v>33</v>
      </c>
      <c r="W4" s="178"/>
      <c r="X4" s="178"/>
      <c r="Y4" s="178"/>
      <c r="Z4" s="178"/>
      <c r="AA4" s="178"/>
      <c r="AB4" s="178"/>
      <c r="AC4" s="178"/>
      <c r="AD4" s="178"/>
      <c r="AE4" s="178"/>
      <c r="AF4" s="178"/>
      <c r="AG4" s="178"/>
      <c r="AH4" s="178"/>
      <c r="AI4" s="178"/>
      <c r="AJ4" s="178"/>
      <c r="AK4" s="178"/>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4" t="s">
        <v>146</v>
      </c>
      <c r="B5" s="175"/>
      <c r="C5" s="18"/>
      <c r="D5" s="143" t="s">
        <v>0</v>
      </c>
      <c r="E5" s="144"/>
      <c r="F5" s="144"/>
      <c r="G5" s="144"/>
      <c r="H5" s="144"/>
      <c r="I5" s="144"/>
      <c r="J5" s="144"/>
      <c r="K5" s="144"/>
      <c r="L5" s="144"/>
      <c r="M5" s="145"/>
      <c r="N5" s="157">
        <f>IFERROR(VLOOKUP(A5,'Qualabtoleranzen&amp;Einheiten'!$B$6:$E$200,2,FALSE),"")</f>
        <v>0.25</v>
      </c>
      <c r="O5" s="157"/>
      <c r="P5" s="157"/>
      <c r="Q5" s="158"/>
      <c r="R5" s="19"/>
      <c r="S5" s="174" t="s">
        <v>104</v>
      </c>
      <c r="T5" s="175"/>
      <c r="U5" s="18"/>
      <c r="V5" s="143" t="s">
        <v>0</v>
      </c>
      <c r="W5" s="144"/>
      <c r="X5" s="144"/>
      <c r="Y5" s="144"/>
      <c r="Z5" s="144"/>
      <c r="AA5" s="144"/>
      <c r="AB5" s="144"/>
      <c r="AC5" s="144"/>
      <c r="AD5" s="144"/>
      <c r="AE5" s="145"/>
      <c r="AF5" s="157">
        <f>IFERROR(VLOOKUP(S5,'Qualabtoleranzen&amp;Einheiten'!$B$6:$E$200,2,FALSE),"")</f>
        <v>0.25</v>
      </c>
      <c r="AG5" s="157"/>
      <c r="AH5" s="157"/>
      <c r="AI5" s="158"/>
      <c r="AJ5" s="40"/>
      <c r="AK5" s="174" t="s">
        <v>119</v>
      </c>
      <c r="AL5" s="175"/>
      <c r="AM5" s="18"/>
      <c r="AN5" s="143" t="s">
        <v>0</v>
      </c>
      <c r="AO5" s="144"/>
      <c r="AP5" s="144"/>
      <c r="AQ5" s="144"/>
      <c r="AR5" s="144"/>
      <c r="AS5" s="144"/>
      <c r="AT5" s="144"/>
      <c r="AU5" s="144"/>
      <c r="AV5" s="144"/>
      <c r="AW5" s="145"/>
      <c r="AX5" s="157">
        <f>IFERROR(VLOOKUP(AK5,'Qualabtoleranzen&amp;Einheiten'!$B$6:$E$200,2,FALSE),"")</f>
        <v>0.09</v>
      </c>
      <c r="AY5" s="157"/>
      <c r="AZ5" s="157"/>
      <c r="BA5" s="158"/>
    </row>
    <row r="6" spans="1:56" ht="12.75" customHeight="1" x14ac:dyDescent="0.2">
      <c r="A6" s="176"/>
      <c r="B6" s="177"/>
      <c r="C6" s="18"/>
      <c r="D6" s="143" t="s">
        <v>8</v>
      </c>
      <c r="E6" s="144"/>
      <c r="F6" s="144"/>
      <c r="G6" s="144"/>
      <c r="H6" s="144"/>
      <c r="I6" s="144"/>
      <c r="J6" s="144"/>
      <c r="K6" s="144"/>
      <c r="L6" s="144"/>
      <c r="M6" s="145"/>
      <c r="N6" s="157">
        <v>0.16</v>
      </c>
      <c r="O6" s="157"/>
      <c r="P6" s="157"/>
      <c r="Q6" s="158"/>
      <c r="R6" s="19"/>
      <c r="S6" s="176"/>
      <c r="T6" s="177"/>
      <c r="U6" s="18"/>
      <c r="V6" s="143" t="s">
        <v>8</v>
      </c>
      <c r="W6" s="144"/>
      <c r="X6" s="144"/>
      <c r="Y6" s="144"/>
      <c r="Z6" s="144"/>
      <c r="AA6" s="144"/>
      <c r="AB6" s="144"/>
      <c r="AC6" s="144"/>
      <c r="AD6" s="144"/>
      <c r="AE6" s="145"/>
      <c r="AF6" s="157">
        <v>0.05</v>
      </c>
      <c r="AG6" s="157"/>
      <c r="AH6" s="157"/>
      <c r="AI6" s="158"/>
      <c r="AJ6" s="40"/>
      <c r="AK6" s="176"/>
      <c r="AL6" s="177"/>
      <c r="AM6" s="18"/>
      <c r="AN6" s="143" t="s">
        <v>8</v>
      </c>
      <c r="AO6" s="144"/>
      <c r="AP6" s="144"/>
      <c r="AQ6" s="144"/>
      <c r="AR6" s="144"/>
      <c r="AS6" s="144"/>
      <c r="AT6" s="144"/>
      <c r="AU6" s="144"/>
      <c r="AV6" s="144"/>
      <c r="AW6" s="145"/>
      <c r="AX6" s="157">
        <v>5.2999999999999999E-2</v>
      </c>
      <c r="AY6" s="157"/>
      <c r="AZ6" s="157"/>
      <c r="BA6" s="158"/>
    </row>
    <row r="7" spans="1:56" ht="12.75" customHeight="1" x14ac:dyDescent="0.2">
      <c r="A7" s="162"/>
      <c r="B7" s="163"/>
      <c r="C7" s="18"/>
      <c r="D7" s="146" t="str">
        <f>IF(AND($V$4="Eine Vorlage zur Zielwertermittlung",NOT(L7="----------")),"neuer Zielwert",IF(NOT($V$4="Eine Vorlage zur Zielwertermittlung"),"Zielwert",""))</f>
        <v>Zielwert</v>
      </c>
      <c r="E7" s="147"/>
      <c r="F7" s="147"/>
      <c r="G7" s="147"/>
      <c r="H7" s="147"/>
      <c r="I7" s="147"/>
      <c r="J7" s="147"/>
      <c r="K7" s="148"/>
      <c r="L7" s="166">
        <v>7.6</v>
      </c>
      <c r="M7" s="166"/>
      <c r="N7" s="166"/>
      <c r="O7" s="159" t="str">
        <f>IFERROR(VLOOKUP(A5,'Qualabtoleranzen&amp;Einheiten'!$B$6:$E$200,4,FALSE),"Einheit")</f>
        <v>x103/µL</v>
      </c>
      <c r="P7" s="160"/>
      <c r="Q7" s="161"/>
      <c r="R7" s="19"/>
      <c r="S7" s="162"/>
      <c r="T7" s="163"/>
      <c r="U7" s="18"/>
      <c r="V7" s="146" t="str">
        <f>IF(AND($V$4="Eine Vorlage zur Zielwertermittlung",NOT(AD7="----------")),"neuer Zielwert",IF(NOT($V$4="Eine Vorlage zur Zielwertermittlung"),"Zielwert",""))</f>
        <v>Zielwert</v>
      </c>
      <c r="W7" s="147"/>
      <c r="X7" s="147"/>
      <c r="Y7" s="147"/>
      <c r="Z7" s="147"/>
      <c r="AA7" s="147"/>
      <c r="AB7" s="147"/>
      <c r="AC7" s="148"/>
      <c r="AD7" s="166">
        <v>4.0999999999999996</v>
      </c>
      <c r="AE7" s="166"/>
      <c r="AF7" s="166"/>
      <c r="AG7" s="159" t="str">
        <f>IFERROR(VLOOKUP(S5,'Qualabtoleranzen&amp;Einheiten'!$B$6:$E$200,4,FALSE),"Einheit")</f>
        <v>x106/µl</v>
      </c>
      <c r="AH7" s="160"/>
      <c r="AI7" s="161"/>
      <c r="AJ7" s="40"/>
      <c r="AK7" s="162"/>
      <c r="AL7" s="163"/>
      <c r="AM7" s="18"/>
      <c r="AN7" s="146" t="str">
        <f>IF(AND($V$4="Eine Vorlage zur Zielwertermittlung",NOT(AV7="----------")),"neuer Zielwert",IF(NOT($V$4="Eine Vorlage zur Zielwertermittlung"),"Zielwert",""))</f>
        <v>Zielwert</v>
      </c>
      <c r="AO7" s="147"/>
      <c r="AP7" s="147"/>
      <c r="AQ7" s="147"/>
      <c r="AR7" s="147"/>
      <c r="AS7" s="147"/>
      <c r="AT7" s="147"/>
      <c r="AU7" s="148"/>
      <c r="AV7" s="166">
        <v>13.5</v>
      </c>
      <c r="AW7" s="166"/>
      <c r="AX7" s="166"/>
      <c r="AY7" s="159" t="str">
        <f>IFERROR(VLOOKUP(AK5,'Qualabtoleranzen&amp;Einheiten'!$B$6:$E$200,4,FALSE),"Einheit")</f>
        <v>g/dl</v>
      </c>
      <c r="AZ7" s="160"/>
      <c r="BA7" s="161"/>
    </row>
    <row r="8" spans="1:56" ht="12.75" customHeight="1" x14ac:dyDescent="0.2">
      <c r="A8" s="164"/>
      <c r="B8" s="165"/>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42"/>
      <c r="N8" s="142"/>
      <c r="O8" s="155" t="str">
        <f>IF(L8="","",O7)</f>
        <v>x103/µL</v>
      </c>
      <c r="P8" s="155"/>
      <c r="Q8" s="155"/>
      <c r="R8" s="19"/>
      <c r="S8" s="164"/>
      <c r="T8" s="165"/>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7.0000000000000007E-2</v>
      </c>
      <c r="AE8" s="142"/>
      <c r="AF8" s="142"/>
      <c r="AG8" s="155" t="str">
        <f>IF(AD8="","",AG7)</f>
        <v>x106/µl</v>
      </c>
      <c r="AH8" s="155"/>
      <c r="AI8" s="155"/>
      <c r="AJ8" s="40"/>
      <c r="AK8" s="164"/>
      <c r="AL8" s="165"/>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22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6.3999999999999995</v>
      </c>
      <c r="E11" s="168"/>
      <c r="F11" s="16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v>
      </c>
      <c r="G11" s="168"/>
      <c r="H11" s="16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7.1999999999999993</v>
      </c>
      <c r="I11" s="168"/>
      <c r="J11" s="224"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7.6</v>
      </c>
      <c r="K11" s="168"/>
      <c r="L11" s="16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68"/>
      <c r="N11" s="16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O11" s="168"/>
      <c r="P11" s="16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8.8000000000000007</v>
      </c>
      <c r="Q11" s="168"/>
      <c r="R11" s="41"/>
      <c r="S11" s="44" t="s">
        <v>10</v>
      </c>
      <c r="T11" s="47" t="s">
        <v>28</v>
      </c>
      <c r="U11" s="43"/>
      <c r="V11" s="2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v>
      </c>
      <c r="W11" s="181"/>
      <c r="X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3.9699999999999998</v>
      </c>
      <c r="Y11" s="181"/>
      <c r="Z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4.04</v>
      </c>
      <c r="AA11" s="181"/>
      <c r="AB11" s="22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4.0999999999999996</v>
      </c>
      <c r="AC11" s="181"/>
      <c r="AD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4.16</v>
      </c>
      <c r="AE11" s="181"/>
      <c r="AF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4.2300000000000004</v>
      </c>
      <c r="AG11" s="181"/>
      <c r="AH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v>
      </c>
      <c r="AI11" s="181"/>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54"/>
      <c r="AP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54"/>
      <c r="AR11" s="16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68"/>
      <c r="AT11" s="156"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13.5</v>
      </c>
      <c r="AU11" s="154"/>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W11" s="154"/>
      <c r="AX11" s="16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68"/>
      <c r="AZ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BA11" s="154"/>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4" t="s">
        <v>116</v>
      </c>
      <c r="B41" s="175"/>
      <c r="C41" s="18"/>
      <c r="D41" s="143" t="s">
        <v>0</v>
      </c>
      <c r="E41" s="144"/>
      <c r="F41" s="144"/>
      <c r="G41" s="144"/>
      <c r="H41" s="144"/>
      <c r="I41" s="144"/>
      <c r="J41" s="144"/>
      <c r="K41" s="144"/>
      <c r="L41" s="144"/>
      <c r="M41" s="145"/>
      <c r="N41" s="157">
        <f>IFERROR(VLOOKUP(A41,'Qualabtoleranzen&amp;Einheiten'!$B$6:$E$200,2,FALSE),"")</f>
        <v>0.09</v>
      </c>
      <c r="O41" s="157"/>
      <c r="P41" s="157"/>
      <c r="Q41" s="158"/>
      <c r="R41" s="19"/>
      <c r="S41" s="174" t="s">
        <v>180</v>
      </c>
      <c r="T41" s="175"/>
      <c r="U41" s="18"/>
      <c r="V41" s="143" t="s">
        <v>0</v>
      </c>
      <c r="W41" s="144"/>
      <c r="X41" s="144"/>
      <c r="Y41" s="144"/>
      <c r="Z41" s="144"/>
      <c r="AA41" s="144"/>
      <c r="AB41" s="144"/>
      <c r="AC41" s="144"/>
      <c r="AD41" s="144"/>
      <c r="AE41" s="145"/>
      <c r="AF41" s="157">
        <f>IFERROR(VLOOKUP(S41,'Qualabtoleranzen&amp;Einheiten'!$B$6:$E$200,2,FALSE),"")</f>
        <v>0.25</v>
      </c>
      <c r="AG41" s="157"/>
      <c r="AH41" s="157"/>
      <c r="AI41" s="158"/>
      <c r="AJ41" s="19"/>
      <c r="AK41" s="174" t="s">
        <v>9</v>
      </c>
      <c r="AL41" s="175"/>
      <c r="AM41" s="18"/>
      <c r="AN41" s="143" t="s">
        <v>0</v>
      </c>
      <c r="AO41" s="144"/>
      <c r="AP41" s="144"/>
      <c r="AQ41" s="144"/>
      <c r="AR41" s="144"/>
      <c r="AS41" s="144"/>
      <c r="AT41" s="144"/>
      <c r="AU41" s="144"/>
      <c r="AV41" s="144"/>
      <c r="AW41" s="145"/>
      <c r="AX41" s="157" t="str">
        <f>IFERROR(VLOOKUP(AK41,'Qualabtoleranzen&amp;Einheiten'!$B$6:$E$200,2,FALSE),"")</f>
        <v/>
      </c>
      <c r="AY41" s="157"/>
      <c r="AZ41" s="157"/>
      <c r="BA41" s="158"/>
    </row>
    <row r="42" spans="1:56" ht="12.75" customHeight="1" x14ac:dyDescent="0.2">
      <c r="A42" s="176"/>
      <c r="B42" s="177"/>
      <c r="C42" s="18"/>
      <c r="D42" s="143" t="s">
        <v>8</v>
      </c>
      <c r="E42" s="144"/>
      <c r="F42" s="144"/>
      <c r="G42" s="144"/>
      <c r="H42" s="144"/>
      <c r="I42" s="144"/>
      <c r="J42" s="144"/>
      <c r="K42" s="144"/>
      <c r="L42" s="144"/>
      <c r="M42" s="145"/>
      <c r="N42" s="157">
        <v>7.0999999999999994E-2</v>
      </c>
      <c r="O42" s="157"/>
      <c r="P42" s="157"/>
      <c r="Q42" s="158"/>
      <c r="R42" s="19"/>
      <c r="S42" s="176"/>
      <c r="T42" s="177"/>
      <c r="U42" s="18"/>
      <c r="V42" s="143" t="s">
        <v>8</v>
      </c>
      <c r="W42" s="144"/>
      <c r="X42" s="144"/>
      <c r="Y42" s="144"/>
      <c r="Z42" s="144"/>
      <c r="AA42" s="144"/>
      <c r="AB42" s="144"/>
      <c r="AC42" s="144"/>
      <c r="AD42" s="144"/>
      <c r="AE42" s="145"/>
      <c r="AF42" s="157">
        <v>0.13420000000000001</v>
      </c>
      <c r="AG42" s="157"/>
      <c r="AH42" s="157"/>
      <c r="AI42" s="158"/>
      <c r="AJ42" s="19"/>
      <c r="AK42" s="176"/>
      <c r="AL42" s="177"/>
      <c r="AM42" s="18"/>
      <c r="AN42" s="143" t="s">
        <v>8</v>
      </c>
      <c r="AO42" s="144"/>
      <c r="AP42" s="144"/>
      <c r="AQ42" s="144"/>
      <c r="AR42" s="144"/>
      <c r="AS42" s="144"/>
      <c r="AT42" s="144"/>
      <c r="AU42" s="144"/>
      <c r="AV42" s="144"/>
      <c r="AW42" s="145"/>
      <c r="AX42" s="157" t="str">
        <f>IFERROR(VLOOKUP(AK41,'Qualabtoleranzen&amp;Einheiten'!$B$6:$E$200,3,FALSE),"")</f>
        <v/>
      </c>
      <c r="AY42" s="157"/>
      <c r="AZ42" s="157"/>
      <c r="BA42" s="158"/>
    </row>
    <row r="43" spans="1:56" s="22" customFormat="1" ht="12.75" customHeight="1" x14ac:dyDescent="0.2">
      <c r="A43" s="162"/>
      <c r="B43" s="163"/>
      <c r="C43" s="18"/>
      <c r="D43" s="146" t="str">
        <f>IF(AND($V$4="Eine Vorlage zur Zielwertermittlung",NOT(L43="----------")),"neuer Zielwert",IF(NOT($V$4="Eine Vorlage zur Zielwertermittlung"),"Zielwert",""))</f>
        <v>Zielwert</v>
      </c>
      <c r="E43" s="147"/>
      <c r="F43" s="147"/>
      <c r="G43" s="147"/>
      <c r="H43" s="147"/>
      <c r="I43" s="147"/>
      <c r="J43" s="147"/>
      <c r="K43" s="148"/>
      <c r="L43" s="166">
        <v>35.5</v>
      </c>
      <c r="M43" s="166"/>
      <c r="N43" s="166"/>
      <c r="O43" s="159" t="str">
        <f>IFERROR(VLOOKUP(A41,'Qualabtoleranzen&amp;Einheiten'!$B$6:$E$200,4,FALSE),"Einheit")</f>
        <v>%</v>
      </c>
      <c r="P43" s="160"/>
      <c r="Q43" s="161"/>
      <c r="R43" s="19"/>
      <c r="S43" s="162"/>
      <c r="T43" s="163"/>
      <c r="U43" s="18"/>
      <c r="V43" s="146" t="str">
        <f>IF(AND($V$4="Eine Vorlage zur Zielwertermittlung",NOT(AD43="----------")),"neuer Zielwert",IF(NOT($V$4="Eine Vorlage zur Zielwertermittlung"),"Zielwert",""))</f>
        <v>Zielwert</v>
      </c>
      <c r="W43" s="147"/>
      <c r="X43" s="147"/>
      <c r="Y43" s="147"/>
      <c r="Z43" s="147"/>
      <c r="AA43" s="147"/>
      <c r="AB43" s="147"/>
      <c r="AC43" s="148"/>
      <c r="AD43" s="166">
        <v>261</v>
      </c>
      <c r="AE43" s="166"/>
      <c r="AF43" s="166"/>
      <c r="AG43" s="159" t="str">
        <f>IFERROR(VLOOKUP(S41,'Qualabtoleranzen&amp;Einheiten'!$B$6:$E$200,4,FALSE),"Einheit")</f>
        <v>x103/µL</v>
      </c>
      <c r="AH43" s="160"/>
      <c r="AI43" s="161"/>
      <c r="AJ43" s="19"/>
      <c r="AK43" s="162"/>
      <c r="AL43" s="163"/>
      <c r="AM43" s="18"/>
      <c r="AN43" s="146" t="str">
        <f>IF(AND($V$4="Eine Vorlage zur Zielwertermittlung",NOT(AV43="----------")),"neuer Zielwert",IF(NOT($V$4="Eine Vorlage zur Zielwertermittlung"),"Zielwert",""))</f>
        <v>Zielwert</v>
      </c>
      <c r="AO43" s="147"/>
      <c r="AP43" s="147"/>
      <c r="AQ43" s="147"/>
      <c r="AR43" s="147"/>
      <c r="AS43" s="147"/>
      <c r="AT43" s="147"/>
      <c r="AU43" s="148"/>
      <c r="AV43" s="166" t="str" cm="1">
        <f t="array" ref="AV43">IF(NOT($V$4="Eine Vorlage zur Zielwertermittlung"),"",IF(AND(AL49:AL73="",$V$4="Eine Vorlage zur Zielwertermittlung"),"----------",ROUND(AVERAGE(AL49:AL73),IF(AL48="0 Komastellen",0,IF(AL48="1 Komastelle",1,IF(AL48="2 Komastellen",2,IF(AL48="3 Komastellen",3,1)))))))</f>
        <v/>
      </c>
      <c r="AW43" s="166"/>
      <c r="AX43" s="166"/>
      <c r="AY43" s="159" t="str">
        <f>IFERROR(VLOOKUP(AK41,'Qualabtoleranzen&amp;Einheiten'!$B$6:$E$200,4,FALSE),"Einheit")</f>
        <v>Einheit</v>
      </c>
      <c r="AZ43" s="160"/>
      <c r="BA43" s="161"/>
      <c r="BC43" s="16"/>
    </row>
    <row r="44" spans="1:56" s="22" customFormat="1" ht="12.75" customHeight="1" x14ac:dyDescent="0.2">
      <c r="A44" s="164"/>
      <c r="B44" s="165"/>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2"/>
      <c r="N44" s="142"/>
      <c r="O44" s="155" t="str">
        <f>IF(L44="","",O43)</f>
        <v>%</v>
      </c>
      <c r="P44" s="155"/>
      <c r="Q44" s="155"/>
      <c r="R44" s="19"/>
      <c r="S44" s="164"/>
      <c r="T44" s="165"/>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v>
      </c>
      <c r="AE44" s="142"/>
      <c r="AF44" s="142"/>
      <c r="AG44" s="155" t="str">
        <f>IF(AD44="","",AG43)</f>
        <v>x103/µL</v>
      </c>
      <c r="AH44" s="155"/>
      <c r="AI44" s="155"/>
      <c r="AJ44" s="19"/>
      <c r="AK44" s="164"/>
      <c r="AL44" s="165"/>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22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v>
      </c>
      <c r="E47" s="168"/>
      <c r="F47" s="16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33.9</v>
      </c>
      <c r="G47" s="168"/>
      <c r="H47" s="16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34.700000000000003</v>
      </c>
      <c r="I47" s="168"/>
      <c r="J47" s="224"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35.5</v>
      </c>
      <c r="K47" s="168"/>
      <c r="L47" s="16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36.299999999999997</v>
      </c>
      <c r="M47" s="168"/>
      <c r="N47" s="16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37.1</v>
      </c>
      <c r="O47" s="168"/>
      <c r="P47" s="16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v>
      </c>
      <c r="Q47" s="168"/>
      <c r="R47" s="41"/>
      <c r="S47" s="44" t="s">
        <v>10</v>
      </c>
      <c r="T47" s="47" t="s">
        <v>28</v>
      </c>
      <c r="U47" s="43"/>
      <c r="V47" s="15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226</v>
      </c>
      <c r="W47" s="154"/>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238</v>
      </c>
      <c r="Y47" s="154"/>
      <c r="Z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250</v>
      </c>
      <c r="AA47" s="154"/>
      <c r="AB47" s="15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261</v>
      </c>
      <c r="AC47" s="154"/>
      <c r="AD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272</v>
      </c>
      <c r="AE47" s="154"/>
      <c r="AF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284</v>
      </c>
      <c r="AG47" s="154"/>
      <c r="AH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296</v>
      </c>
      <c r="AI47" s="154"/>
      <c r="AJ47" s="19"/>
      <c r="AK47" s="44" t="s">
        <v>10</v>
      </c>
      <c r="AL47" s="47" t="s">
        <v>28</v>
      </c>
      <c r="AM47" s="43"/>
      <c r="AN47" s="156"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4"/>
      <c r="AP47" s="15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4"/>
      <c r="AR47" s="15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4"/>
      <c r="AT47" s="156"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4"/>
      <c r="AV47" s="15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4"/>
      <c r="AX47" s="15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4"/>
      <c r="AZ47" s="15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4"/>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NNDCwfwJdg0wUl0FDb+USjkWdfSg2MXK8JdA5nCJGf6hct6vMHOtd0Dass9ESQV5e4AgIBD3UkyFNRh7bKdYMQ==" saltValue="p0OTTn2j80DsQbQRmGIC2w=="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disablePrompts="1"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24.07.2025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5" t="str">
        <f>Dokumentationshilfe!C1</f>
        <v>Mythic 22</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Myt-5D</v>
      </c>
      <c r="C5" s="192"/>
      <c r="D5" s="193" t="str">
        <f>CONCATENATE(Dokumentationshilfe!S3,Dokumentationshilfe!T3)</f>
        <v>Lot: MYT2508N</v>
      </c>
      <c r="E5" s="193"/>
      <c r="F5" s="194" t="str">
        <f>CONCATENATE(Dokumentationshilfe!AF3,TEXT(Dokumentationshilfe!AK3,"TT.MM.JJJJ"))</f>
        <v>Verfall: 05.10.2025</v>
      </c>
      <c r="G5" s="195"/>
    </row>
    <row r="6" spans="2:7" ht="13.5" thickBot="1" x14ac:dyDescent="0.25"/>
    <row r="7" spans="2:7" ht="17.25" thickBot="1" x14ac:dyDescent="0.3">
      <c r="B7" s="65" t="s">
        <v>50</v>
      </c>
      <c r="C7" s="66" t="s">
        <v>212</v>
      </c>
      <c r="D7" s="196" t="s">
        <v>213</v>
      </c>
      <c r="E7" s="196"/>
      <c r="F7" s="196"/>
      <c r="G7" s="65" t="s">
        <v>1</v>
      </c>
    </row>
    <row r="8" spans="2:7" ht="15.75" thickBot="1" x14ac:dyDescent="0.25">
      <c r="B8" s="67" t="str">
        <f>Dokumentationshilfe!A5</f>
        <v>WBC</v>
      </c>
      <c r="C8" s="68">
        <f>Dokumentationshilfe!J11</f>
        <v>7.6</v>
      </c>
      <c r="D8" s="183" t="str">
        <f>CONCATENATE(Dokumentationshilfe!D11," - ",Dokumentationshilfe!P11)</f>
        <v>6.4 - 8.8</v>
      </c>
      <c r="E8" s="183"/>
      <c r="F8" s="183"/>
      <c r="G8" s="67" t="str">
        <f>Dokumentationshilfe!O7</f>
        <v>x103/µL</v>
      </c>
    </row>
    <row r="9" spans="2:7" ht="15.75" thickBot="1" x14ac:dyDescent="0.25">
      <c r="B9" s="67" t="str">
        <f>Dokumentationshilfe!S5</f>
        <v>RBC</v>
      </c>
      <c r="C9" s="68">
        <f>Dokumentationshilfe!AB11</f>
        <v>4.0999999999999996</v>
      </c>
      <c r="D9" s="183" t="str">
        <f>CONCATENATE(Dokumentationshilfe!V11," - ",Dokumentationshilfe!AH11)</f>
        <v>3.9 - 4.3</v>
      </c>
      <c r="E9" s="183"/>
      <c r="F9" s="183"/>
      <c r="G9" s="67" t="str">
        <f>Dokumentationshilfe!AG7</f>
        <v>x106/µl</v>
      </c>
    </row>
    <row r="10" spans="2:7" ht="15.75" thickBot="1" x14ac:dyDescent="0.25">
      <c r="B10" s="67" t="str">
        <f>Dokumentationshilfe!AK5</f>
        <v>Hb</v>
      </c>
      <c r="C10" s="68">
        <f>Dokumentationshilfe!AT11</f>
        <v>13.5</v>
      </c>
      <c r="D10" s="183" t="str">
        <f>CONCATENATE(Dokumentationshilfe!AN11," - ",Dokumentationshilfe!AZ11)</f>
        <v>12.8 - 14.2</v>
      </c>
      <c r="E10" s="183"/>
      <c r="F10" s="183"/>
      <c r="G10" s="67" t="str">
        <f>Dokumentationshilfe!AY7</f>
        <v>g/dl</v>
      </c>
    </row>
    <row r="11" spans="2:7" ht="15.75" thickBot="1" x14ac:dyDescent="0.25">
      <c r="B11" s="67" t="str">
        <f>Dokumentationshilfe!A41</f>
        <v>HCT</v>
      </c>
      <c r="C11" s="68">
        <f>Dokumentationshilfe!J47</f>
        <v>35.5</v>
      </c>
      <c r="D11" s="183" t="str">
        <f>CONCATENATE(Dokumentationshilfe!D47," - ",Dokumentationshilfe!P47)</f>
        <v>33 - 38</v>
      </c>
      <c r="E11" s="183"/>
      <c r="F11" s="183"/>
      <c r="G11" s="67" t="str">
        <f>Dokumentationshilfe!O43</f>
        <v>%</v>
      </c>
    </row>
    <row r="12" spans="2:7" ht="15.75" thickBot="1" x14ac:dyDescent="0.25">
      <c r="B12" s="67" t="str">
        <f>Dokumentationshilfe!S41</f>
        <v>PLT</v>
      </c>
      <c r="C12" s="68">
        <f>Dokumentationshilfe!AB47</f>
        <v>261</v>
      </c>
      <c r="D12" s="183" t="str">
        <f>CONCATENATE(Dokumentationshilfe!V47," - ",Dokumentationshilfe!AH47)</f>
        <v>226 - 296</v>
      </c>
      <c r="E12" s="183"/>
      <c r="F12" s="183"/>
      <c r="G12" s="67" t="str">
        <f>Dokumentationshilfe!AG43</f>
        <v>x103/µL</v>
      </c>
    </row>
    <row r="13" spans="2:7" ht="15.75" thickBot="1" x14ac:dyDescent="0.25">
      <c r="B13" s="67" t="str">
        <f>Dokumentationshilfe!AK41</f>
        <v>Test</v>
      </c>
      <c r="C13" s="68" t="str">
        <f>Dokumentationshilfe!AT47</f>
        <v/>
      </c>
      <c r="D13" s="183" t="str">
        <f>CONCATENATE(Dokumentationshilfe!AN47," - ",Dokumentationshilfe!AZ47)</f>
        <v xml:space="preserve"> - </v>
      </c>
      <c r="E13" s="183"/>
      <c r="F13" s="183"/>
      <c r="G13" s="67" t="str">
        <f>Dokumentationshilfe!AY43</f>
        <v>Einheit</v>
      </c>
    </row>
    <row r="14" spans="2:7" ht="15" x14ac:dyDescent="0.2">
      <c r="B14" s="69"/>
      <c r="C14" s="70"/>
      <c r="D14" s="184"/>
      <c r="E14" s="184"/>
      <c r="F14" s="184"/>
      <c r="G14" s="69"/>
    </row>
    <row r="15" spans="2:7" ht="15" x14ac:dyDescent="0.2">
      <c r="B15" s="71"/>
      <c r="C15" s="72"/>
      <c r="D15" s="182"/>
      <c r="E15" s="182"/>
      <c r="F15" s="182"/>
      <c r="G15" s="71"/>
    </row>
    <row r="16" spans="2:7" ht="15" x14ac:dyDescent="0.2">
      <c r="B16" s="71"/>
      <c r="C16" s="72"/>
      <c r="D16" s="182"/>
      <c r="E16" s="182"/>
      <c r="F16" s="182"/>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198" t="s">
        <v>214</v>
      </c>
      <c r="C2" s="199"/>
      <c r="D2" s="199"/>
      <c r="E2" s="199"/>
      <c r="F2" s="199"/>
      <c r="G2" s="200"/>
      <c r="I2" s="198" t="s">
        <v>215</v>
      </c>
      <c r="J2" s="199"/>
      <c r="K2" s="199"/>
      <c r="L2" s="199"/>
      <c r="M2" s="200"/>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1" t="s">
        <v>221</v>
      </c>
      <c r="J4" s="202"/>
      <c r="K4" s="202"/>
      <c r="L4" s="202"/>
      <c r="M4" s="203"/>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7.6</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4" t="str">
        <f>IF(OR(F5="VK manuell eingeben",F5="Parameter eingeben"),"",IF(OR(F5=0,F5=""),"",IF(AND(E5="",F5&lt;&gt;"",F5&lt;&gt;0),_xlfn.CONCAT(Hilfstabelle!Q39,MAX(C5,D5)-F5,Hilfstabelle!Q40,MAX(C5,D5)+F5,Hilfstabelle!Q41),IF(E5&lt;F5,Hilfstabelle!Q43,IF(E5&gt;F5,Hilfstabelle!Q44,"")))))</f>
        <v/>
      </c>
      <c r="D7" s="204"/>
      <c r="E7" s="204"/>
      <c r="F7" s="204"/>
      <c r="G7" s="205"/>
      <c r="I7" s="92" t="str">
        <f>Dokumentationshilfe!S5</f>
        <v>RBC</v>
      </c>
      <c r="J7" s="93"/>
      <c r="K7" s="93"/>
      <c r="L7" s="94">
        <f>Dokumentationshilfe!AB11</f>
        <v>4.0999999999999996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06"/>
      <c r="D8" s="206"/>
      <c r="E8" s="206"/>
      <c r="F8" s="206"/>
      <c r="G8" s="207"/>
      <c r="I8" s="118" t="str">
        <f>Dokumentationshilfe!AK5</f>
        <v>Hb</v>
      </c>
      <c r="J8" s="119"/>
      <c r="K8" s="119"/>
      <c r="L8" s="120">
        <f>Dokumentationshilfe!AT11</f>
        <v>13.5</v>
      </c>
      <c r="M8" s="121" t="str">
        <f t="shared" si="0"/>
        <v>Analysesystem wählen</v>
      </c>
    </row>
    <row r="9" spans="2:13" ht="16.5" customHeight="1" thickBot="1" x14ac:dyDescent="0.25">
      <c r="B9" s="101"/>
      <c r="C9" s="208"/>
      <c r="D9" s="208"/>
      <c r="E9" s="208"/>
      <c r="F9" s="208"/>
      <c r="G9" s="209"/>
      <c r="I9" s="92" t="str">
        <f>Dokumentationshilfe!A41</f>
        <v>HCT</v>
      </c>
      <c r="J9" s="93"/>
      <c r="K9" s="93"/>
      <c r="L9" s="94">
        <f>Dokumentationshilfe!J47</f>
        <v>35.5</v>
      </c>
      <c r="M9" s="95" t="str">
        <f t="shared" si="0"/>
        <v>Analysesystem wählen</v>
      </c>
    </row>
    <row r="10" spans="2:13" ht="16.5" customHeight="1" thickTop="1" x14ac:dyDescent="0.2">
      <c r="I10" s="92" t="str">
        <f>Dokumentationshilfe!S41</f>
        <v>PLT</v>
      </c>
      <c r="J10" s="93"/>
      <c r="K10" s="93"/>
      <c r="L10" s="94">
        <f>Dokumentationshilfe!AB47</f>
        <v>261</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0" t="s">
        <v>227</v>
      </c>
      <c r="C12" s="211"/>
      <c r="D12" s="211"/>
      <c r="E12" s="211"/>
      <c r="F12" s="211"/>
      <c r="G12" s="212"/>
    </row>
    <row r="13" spans="2:13" ht="16.5" customHeight="1" thickBot="1" x14ac:dyDescent="0.25">
      <c r="B13" s="90"/>
      <c r="G13" s="91"/>
    </row>
    <row r="14" spans="2:13" ht="16.5" customHeight="1" x14ac:dyDescent="0.2">
      <c r="B14" s="102" t="s">
        <v>228</v>
      </c>
      <c r="C14" s="197" t="s">
        <v>229</v>
      </c>
      <c r="D14" s="197"/>
      <c r="E14" s="103" t="s">
        <v>230</v>
      </c>
      <c r="F14" s="104" t="s">
        <v>231</v>
      </c>
      <c r="G14" s="105"/>
    </row>
    <row r="15" spans="2:13" ht="16.5" customHeight="1" thickBot="1" x14ac:dyDescent="0.25">
      <c r="B15" s="106"/>
      <c r="C15" s="217"/>
      <c r="D15" s="217"/>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8" t="s">
        <v>232</v>
      </c>
      <c r="C18" s="199"/>
      <c r="D18" s="199"/>
      <c r="E18" s="199"/>
      <c r="F18" s="199"/>
      <c r="G18" s="200"/>
    </row>
    <row r="19" spans="2:7" ht="16.5" customHeight="1" thickBot="1" x14ac:dyDescent="0.25">
      <c r="B19" s="76"/>
      <c r="C19" s="77"/>
      <c r="D19" s="77"/>
      <c r="E19" s="77"/>
      <c r="F19" s="77"/>
      <c r="G19" s="78"/>
    </row>
    <row r="20" spans="2:7" ht="16.5" customHeight="1" x14ac:dyDescent="0.2">
      <c r="B20" s="218" t="s">
        <v>233</v>
      </c>
      <c r="C20" s="219"/>
      <c r="D20" s="220" t="str">
        <f>CONCATENATE("Mittelwert der Messwerte von ",C21," (MW):")</f>
        <v>Mittelwert der Messwerte von Auswahl (MW):</v>
      </c>
      <c r="E20" s="221"/>
      <c r="F20" s="22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3" t="str">
        <f>CONCATENATE("Variationskoeffiezient der Messwerte von ",C21," (VK):")</f>
        <v>Variationskoeffiezient der Messwerte von Auswahl (VK):</v>
      </c>
      <c r="E21" s="214"/>
      <c r="F21" s="21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3" t="str">
        <f>CONCATENATE("Standardabweichung der Messwerte von ",C21," (s):")</f>
        <v>Standardabweichung der Messwerte von Auswahl (s):</v>
      </c>
      <c r="E22" s="214"/>
      <c r="F22" s="21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3" t="str">
        <f>CONCATENATE("Maximale absolute Spannweite der Messwerte von ",C21,":")</f>
        <v>Maximale absolute Spannweite der Messwerte von Auswahl:</v>
      </c>
      <c r="E23" s="214"/>
      <c r="F23" s="21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3" t="str">
        <f>CONCATENATE("Maximale relative Spannweite der Messwerte von ",C21," in s:")</f>
        <v>Maximale relative Spannweite der Messwerte von Auswahl in s:</v>
      </c>
      <c r="E24" s="214"/>
      <c r="F24" s="214"/>
      <c r="G24" s="112" t="str">
        <f>IF(OR(C21="Auswahl",C21=""),"Parameter auswählen",IFERROR(_xlfn.TEXTJOIN( ,FALSE,ROUND(G23/G22,2)," s"),"0"))</f>
        <v>Parameter auswählen</v>
      </c>
    </row>
    <row r="25" spans="2:7" ht="16.5" customHeight="1" x14ac:dyDescent="0.2">
      <c r="B25" s="90"/>
      <c r="D25" s="213" t="str">
        <f>CONCATENATE("max. rel. Spannweite der Messwerte von ",C21," in s (s gemäss Qualab):")</f>
        <v>max. rel. Spannweite der Messwerte von Auswahl in s (s gemäss Qualab):</v>
      </c>
      <c r="E25" s="214"/>
      <c r="F25" s="21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5" t="str">
        <f>CONCATENATE("Anzahl Messungen des Parameter ",C21,":")</f>
        <v>Anzahl Messungen des Parameter Auswahl:</v>
      </c>
      <c r="E26" s="216"/>
      <c r="F26" s="216"/>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2" t="s">
        <v>49</v>
      </c>
      <c r="C3" s="222"/>
      <c r="D3" s="222"/>
      <c r="E3" s="222"/>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3" t="s">
        <v>206</v>
      </c>
      <c r="R28" s="223"/>
      <c r="S28" s="223"/>
      <c r="T28" s="223"/>
      <c r="U28" s="223"/>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3"/>
      <c r="R29" s="223"/>
      <c r="S29" s="223"/>
      <c r="T29" s="223"/>
      <c r="U29" s="223"/>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3"/>
      <c r="R30" s="223"/>
      <c r="S30" s="223"/>
      <c r="T30" s="223"/>
      <c r="U30" s="223"/>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3"/>
      <c r="R31" s="223"/>
      <c r="S31" s="223"/>
      <c r="T31" s="223"/>
      <c r="U31" s="223"/>
      <c r="V31" s="64"/>
      <c r="W31" s="64"/>
      <c r="AB31" t="s">
        <v>61</v>
      </c>
      <c r="AC31" t="s">
        <v>96</v>
      </c>
      <c r="AD31">
        <v>1000000</v>
      </c>
    </row>
    <row r="32" spans="3:30" ht="13.5" thickBot="1" x14ac:dyDescent="0.25">
      <c r="Q32" s="223"/>
      <c r="R32" s="223"/>
      <c r="S32" s="223"/>
      <c r="T32" s="223"/>
      <c r="U32" s="223"/>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3"/>
      <c r="R33" s="223"/>
      <c r="S33" s="223"/>
      <c r="T33" s="223"/>
      <c r="U33" s="223"/>
      <c r="V33" s="64"/>
      <c r="W33" s="64"/>
    </row>
    <row r="34" spans="3:30" x14ac:dyDescent="0.2">
      <c r="C34" s="4"/>
      <c r="L34" s="7"/>
      <c r="Q34" s="223"/>
      <c r="R34" s="223"/>
      <c r="S34" s="223"/>
      <c r="T34" s="223"/>
      <c r="U34" s="223"/>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3"/>
      <c r="R35" s="223"/>
      <c r="S35" s="223"/>
      <c r="T35" s="223"/>
      <c r="U35" s="223"/>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Elias Schwarz</cp:lastModifiedBy>
  <cp:lastPrinted>2024-02-22T13:27:13Z</cp:lastPrinted>
  <dcterms:created xsi:type="dcterms:W3CDTF">2005-09-09T12:29:27Z</dcterms:created>
  <dcterms:modified xsi:type="dcterms:W3CDTF">2025-07-24T12:40:45Z</dcterms:modified>
</cp:coreProperties>
</file>